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tbeni\Dropbox (ENLESS WIRELESS)\ENLESS WIRELESS's shared workspace\ISO 9001\Autres Documents\Département Technique\Documents techniques gamme standard\DT4 Gamme LoRa indice a\Data message format et décodage\"/>
    </mc:Choice>
  </mc:AlternateContent>
  <xr:revisionPtr revIDLastSave="0" documentId="13_ncr:1_{3A101983-8C55-4800-8937-546EF99CB34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Change Control" sheetId="45" r:id="rId1"/>
    <sheet name="600-021" sheetId="25" r:id="rId2"/>
    <sheet name="600-022" sheetId="32" r:id="rId3"/>
    <sheet name="600-023" sheetId="33" r:id="rId4"/>
    <sheet name="600-031" sheetId="34" r:id="rId5"/>
    <sheet name="600-232" sheetId="39" r:id="rId6"/>
    <sheet name="600-035" sheetId="40" r:id="rId7"/>
    <sheet name="600-036" sheetId="35" r:id="rId8"/>
    <sheet name="600-037" sheetId="36" r:id="rId9"/>
    <sheet name="600-038" sheetId="37" r:id="rId10"/>
    <sheet name="600-034" sheetId="41" r:id="rId11"/>
    <sheet name="600-032" sheetId="42" r:id="rId12"/>
    <sheet name="600-039" sheetId="3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4" i="38" l="1"/>
  <c r="S14" i="38"/>
  <c r="R14" i="38"/>
  <c r="Q14" i="38"/>
  <c r="T14" i="37"/>
  <c r="S14" i="37"/>
  <c r="R14" i="37"/>
  <c r="Q14" i="37"/>
  <c r="T14" i="36"/>
  <c r="S14" i="36"/>
  <c r="R14" i="36"/>
  <c r="Q14" i="36"/>
  <c r="D14" i="35"/>
  <c r="H14" i="35"/>
  <c r="T14" i="35"/>
  <c r="S14" i="35"/>
  <c r="R14" i="35"/>
  <c r="Q14" i="35"/>
  <c r="H34" i="42"/>
  <c r="H33" i="42"/>
  <c r="H34" i="41"/>
  <c r="H33" i="41"/>
  <c r="H36" i="39"/>
  <c r="H35" i="39"/>
  <c r="H34" i="39"/>
  <c r="H33" i="39"/>
  <c r="H34" i="34"/>
  <c r="H33" i="34"/>
  <c r="H36" i="33"/>
  <c r="H35" i="33"/>
  <c r="H38" i="25"/>
  <c r="H37" i="25"/>
  <c r="H36" i="32"/>
  <c r="H35" i="32"/>
  <c r="H36" i="25"/>
  <c r="H35" i="25"/>
  <c r="E11" i="42"/>
  <c r="E10" i="42"/>
  <c r="E10" i="41"/>
  <c r="E11" i="39"/>
  <c r="E10" i="39"/>
  <c r="E11" i="34"/>
  <c r="E10" i="34"/>
  <c r="E10" i="33"/>
  <c r="E10" i="32"/>
  <c r="D11" i="25"/>
  <c r="E11" i="25"/>
  <c r="X13" i="42"/>
  <c r="W13" i="42"/>
  <c r="V13" i="42"/>
  <c r="U13" i="42"/>
  <c r="X13" i="41"/>
  <c r="W13" i="41"/>
  <c r="V13" i="41"/>
  <c r="U13" i="41"/>
  <c r="X12" i="40"/>
  <c r="W12" i="40"/>
  <c r="V12" i="40"/>
  <c r="U12" i="40"/>
  <c r="X13" i="39"/>
  <c r="W13" i="39"/>
  <c r="V13" i="39"/>
  <c r="U13" i="39"/>
  <c r="X14" i="38"/>
  <c r="W14" i="38"/>
  <c r="V14" i="38"/>
  <c r="U14" i="38"/>
  <c r="X14" i="37"/>
  <c r="W14" i="37"/>
  <c r="V14" i="37"/>
  <c r="U14" i="37"/>
  <c r="X14" i="36"/>
  <c r="W14" i="36"/>
  <c r="V14" i="36"/>
  <c r="U14" i="36"/>
  <c r="X14" i="35"/>
  <c r="W14" i="35"/>
  <c r="V14" i="35"/>
  <c r="U14" i="35"/>
  <c r="X13" i="34"/>
  <c r="W13" i="34"/>
  <c r="V13" i="34"/>
  <c r="U13" i="34"/>
  <c r="X15" i="33"/>
  <c r="W15" i="33"/>
  <c r="V15" i="33"/>
  <c r="U15" i="33"/>
  <c r="X15" i="32"/>
  <c r="W15" i="32"/>
  <c r="V15" i="32"/>
  <c r="U15" i="32"/>
  <c r="B8" i="25"/>
  <c r="B9" i="25"/>
  <c r="B10" i="25"/>
  <c r="B11" i="25"/>
  <c r="B12" i="25"/>
  <c r="B13" i="25"/>
  <c r="B14" i="25"/>
  <c r="B15" i="25"/>
  <c r="B16" i="25"/>
  <c r="D16" i="25"/>
  <c r="H16" i="25"/>
  <c r="X16" i="25"/>
  <c r="W16" i="25"/>
  <c r="V16" i="25"/>
  <c r="U16" i="25"/>
  <c r="H46" i="38"/>
  <c r="H45" i="38"/>
  <c r="H44" i="38"/>
  <c r="H43" i="38"/>
  <c r="H42" i="38"/>
  <c r="H41" i="38"/>
  <c r="H40" i="38"/>
  <c r="H39" i="38"/>
  <c r="H38" i="38"/>
  <c r="H37" i="38"/>
  <c r="H36" i="38"/>
  <c r="H35" i="38"/>
  <c r="H34" i="38"/>
  <c r="H33" i="38"/>
  <c r="H32" i="38"/>
  <c r="H31" i="38"/>
  <c r="H30" i="38"/>
  <c r="H29" i="38"/>
  <c r="H28" i="38"/>
  <c r="H46" i="37"/>
  <c r="H45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I28" i="37" s="1"/>
  <c r="H31" i="37"/>
  <c r="H30" i="37"/>
  <c r="H29" i="37"/>
  <c r="H28" i="37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I28" i="36" s="1"/>
  <c r="H31" i="36"/>
  <c r="H30" i="36"/>
  <c r="H29" i="36"/>
  <c r="H28" i="36"/>
  <c r="H45" i="35"/>
  <c r="H44" i="35"/>
  <c r="H43" i="35"/>
  <c r="H42" i="35"/>
  <c r="H41" i="35"/>
  <c r="H40" i="35"/>
  <c r="H39" i="35"/>
  <c r="H38" i="35"/>
  <c r="H37" i="35"/>
  <c r="H36" i="35"/>
  <c r="H35" i="35"/>
  <c r="H34" i="35"/>
  <c r="H34" i="40"/>
  <c r="H33" i="40"/>
  <c r="H32" i="40"/>
  <c r="H44" i="40"/>
  <c r="H43" i="40"/>
  <c r="H42" i="40"/>
  <c r="H41" i="40"/>
  <c r="H40" i="40"/>
  <c r="H39" i="40"/>
  <c r="H38" i="40"/>
  <c r="H37" i="40"/>
  <c r="H36" i="40"/>
  <c r="H35" i="40"/>
  <c r="H31" i="40"/>
  <c r="H30" i="40"/>
  <c r="H29" i="40"/>
  <c r="H28" i="40"/>
  <c r="H27" i="40"/>
  <c r="H26" i="40"/>
  <c r="H45" i="42"/>
  <c r="H44" i="42"/>
  <c r="H43" i="42"/>
  <c r="H42" i="42"/>
  <c r="H41" i="42"/>
  <c r="H40" i="42"/>
  <c r="H39" i="42"/>
  <c r="H38" i="42"/>
  <c r="H37" i="42"/>
  <c r="H36" i="42"/>
  <c r="H35" i="42"/>
  <c r="H32" i="42"/>
  <c r="H31" i="42"/>
  <c r="H30" i="42"/>
  <c r="H29" i="42"/>
  <c r="H28" i="42"/>
  <c r="H27" i="42"/>
  <c r="H45" i="41"/>
  <c r="H44" i="41"/>
  <c r="H43" i="41"/>
  <c r="H42" i="41"/>
  <c r="H41" i="41"/>
  <c r="H40" i="41"/>
  <c r="H39" i="41"/>
  <c r="H38" i="41"/>
  <c r="H37" i="41"/>
  <c r="H36" i="41"/>
  <c r="H35" i="41"/>
  <c r="H32" i="41"/>
  <c r="H31" i="41"/>
  <c r="I27" i="41" s="1"/>
  <c r="H30" i="41"/>
  <c r="H29" i="41"/>
  <c r="H28" i="41"/>
  <c r="H27" i="41"/>
  <c r="H45" i="39"/>
  <c r="H44" i="39"/>
  <c r="H43" i="39"/>
  <c r="H42" i="39"/>
  <c r="H41" i="39"/>
  <c r="H40" i="39"/>
  <c r="H39" i="39"/>
  <c r="H38" i="39"/>
  <c r="H37" i="39"/>
  <c r="H32" i="39"/>
  <c r="H31" i="39"/>
  <c r="I27" i="39" s="1"/>
  <c r="H30" i="39"/>
  <c r="H29" i="39"/>
  <c r="H28" i="39"/>
  <c r="H27" i="39"/>
  <c r="H46" i="35"/>
  <c r="H33" i="35"/>
  <c r="H32" i="35"/>
  <c r="I28" i="35" s="1"/>
  <c r="H31" i="35"/>
  <c r="H30" i="35"/>
  <c r="H29" i="35"/>
  <c r="H28" i="35"/>
  <c r="H45" i="34"/>
  <c r="H44" i="34"/>
  <c r="H43" i="34"/>
  <c r="H42" i="34"/>
  <c r="H41" i="34"/>
  <c r="H40" i="34"/>
  <c r="H39" i="34"/>
  <c r="H38" i="34"/>
  <c r="H37" i="34"/>
  <c r="H36" i="34"/>
  <c r="H35" i="34"/>
  <c r="H32" i="34"/>
  <c r="H31" i="34"/>
  <c r="I27" i="34" s="1"/>
  <c r="H30" i="34"/>
  <c r="H29" i="34"/>
  <c r="H28" i="34"/>
  <c r="H27" i="34"/>
  <c r="H47" i="33"/>
  <c r="H46" i="33"/>
  <c r="H45" i="33"/>
  <c r="H44" i="33"/>
  <c r="H43" i="33"/>
  <c r="H42" i="33"/>
  <c r="H41" i="33"/>
  <c r="H40" i="33"/>
  <c r="H39" i="33"/>
  <c r="H38" i="33"/>
  <c r="H37" i="33"/>
  <c r="H34" i="33"/>
  <c r="H33" i="33"/>
  <c r="I29" i="33" s="1"/>
  <c r="H32" i="33"/>
  <c r="H31" i="33"/>
  <c r="H30" i="33"/>
  <c r="H29" i="33"/>
  <c r="H47" i="32"/>
  <c r="H46" i="32"/>
  <c r="H45" i="32"/>
  <c r="H44" i="32"/>
  <c r="H43" i="32"/>
  <c r="H42" i="32"/>
  <c r="H41" i="32"/>
  <c r="H40" i="32"/>
  <c r="H39" i="32"/>
  <c r="H38" i="32"/>
  <c r="H37" i="32"/>
  <c r="H34" i="32"/>
  <c r="H33" i="32"/>
  <c r="I29" i="32" s="1"/>
  <c r="H32" i="32"/>
  <c r="H31" i="32"/>
  <c r="H30" i="32"/>
  <c r="H29" i="32"/>
  <c r="H47" i="25"/>
  <c r="H46" i="25"/>
  <c r="H45" i="25"/>
  <c r="H44" i="25"/>
  <c r="H43" i="25"/>
  <c r="H42" i="25"/>
  <c r="H41" i="25"/>
  <c r="H40" i="25"/>
  <c r="H39" i="25"/>
  <c r="H34" i="25"/>
  <c r="H33" i="25"/>
  <c r="I29" i="25" s="1"/>
  <c r="H32" i="25"/>
  <c r="H31" i="25"/>
  <c r="H30" i="25"/>
  <c r="H29" i="25"/>
  <c r="I28" i="38"/>
  <c r="I26" i="40"/>
  <c r="I27" i="42"/>
  <c r="E9" i="32"/>
  <c r="Q15" i="32"/>
  <c r="M15" i="32"/>
  <c r="I15" i="32"/>
  <c r="H15" i="32"/>
  <c r="G15" i="32"/>
  <c r="P15" i="32"/>
  <c r="W14" i="32"/>
  <c r="S14" i="32"/>
  <c r="H14" i="32"/>
  <c r="V14" i="32"/>
  <c r="G14" i="32"/>
  <c r="N14" i="32"/>
  <c r="K14" i="32"/>
  <c r="O14" i="32"/>
  <c r="L14" i="32"/>
  <c r="P14" i="32"/>
  <c r="T14" i="32"/>
  <c r="X14" i="32"/>
  <c r="J15" i="32"/>
  <c r="N15" i="32"/>
  <c r="R15" i="32"/>
  <c r="I14" i="32"/>
  <c r="M14" i="32"/>
  <c r="Q14" i="32"/>
  <c r="U14" i="32"/>
  <c r="K15" i="32"/>
  <c r="O15" i="32"/>
  <c r="S15" i="32"/>
  <c r="J14" i="32"/>
  <c r="R14" i="32"/>
  <c r="L15" i="32"/>
  <c r="T15" i="32"/>
  <c r="B7" i="42"/>
  <c r="D6" i="42"/>
  <c r="E6" i="42"/>
  <c r="D6" i="41"/>
  <c r="E6" i="41"/>
  <c r="B7" i="41"/>
  <c r="D6" i="40"/>
  <c r="E6" i="40"/>
  <c r="B7" i="40"/>
  <c r="D6" i="39"/>
  <c r="E6" i="39"/>
  <c r="B7" i="39"/>
  <c r="D6" i="38"/>
  <c r="E6" i="38"/>
  <c r="B7" i="38"/>
  <c r="D6" i="37"/>
  <c r="E6" i="37"/>
  <c r="B7" i="37"/>
  <c r="B8" i="42"/>
  <c r="D7" i="42"/>
  <c r="E7" i="42"/>
  <c r="B8" i="41"/>
  <c r="D7" i="41"/>
  <c r="E7" i="41"/>
  <c r="B8" i="40"/>
  <c r="D7" i="40"/>
  <c r="E7" i="40"/>
  <c r="B8" i="39"/>
  <c r="D7" i="39"/>
  <c r="E7" i="39"/>
  <c r="D7" i="38"/>
  <c r="E7" i="38"/>
  <c r="B8" i="38"/>
  <c r="D7" i="37"/>
  <c r="E7" i="37"/>
  <c r="B8" i="37"/>
  <c r="D6" i="35"/>
  <c r="E6" i="35"/>
  <c r="B7" i="35"/>
  <c r="D6" i="34"/>
  <c r="E6" i="34"/>
  <c r="B7" i="33"/>
  <c r="D6" i="33"/>
  <c r="E6" i="33"/>
  <c r="B7" i="32"/>
  <c r="D6" i="32"/>
  <c r="E6" i="32"/>
  <c r="D8" i="42"/>
  <c r="E8" i="42"/>
  <c r="B9" i="42"/>
  <c r="B9" i="41"/>
  <c r="D8" i="41"/>
  <c r="E8" i="41"/>
  <c r="B9" i="40"/>
  <c r="D8" i="40"/>
  <c r="E8" i="40"/>
  <c r="B9" i="39"/>
  <c r="D8" i="39"/>
  <c r="E8" i="39"/>
  <c r="B9" i="38"/>
  <c r="D8" i="38"/>
  <c r="E8" i="38"/>
  <c r="B9" i="37"/>
  <c r="D8" i="37"/>
  <c r="E8" i="37"/>
  <c r="D6" i="36"/>
  <c r="E6" i="36"/>
  <c r="B7" i="36"/>
  <c r="D7" i="35"/>
  <c r="E7" i="35"/>
  <c r="B8" i="35"/>
  <c r="B7" i="34"/>
  <c r="D7" i="34"/>
  <c r="E7" i="34"/>
  <c r="D7" i="33"/>
  <c r="E7" i="33"/>
  <c r="B8" i="33"/>
  <c r="D7" i="32"/>
  <c r="E7" i="32"/>
  <c r="B8" i="32"/>
  <c r="B8" i="34"/>
  <c r="D8" i="34"/>
  <c r="E8" i="34"/>
  <c r="D9" i="42"/>
  <c r="E9" i="42"/>
  <c r="B10" i="42"/>
  <c r="D9" i="41"/>
  <c r="E9" i="41"/>
  <c r="B10" i="41"/>
  <c r="D9" i="40"/>
  <c r="E9" i="40"/>
  <c r="B10" i="40"/>
  <c r="D9" i="39"/>
  <c r="E9" i="39"/>
  <c r="B10" i="39"/>
  <c r="B10" i="38"/>
  <c r="D9" i="38"/>
  <c r="E9" i="38"/>
  <c r="B10" i="37"/>
  <c r="D9" i="37"/>
  <c r="E9" i="37"/>
  <c r="D7" i="36"/>
  <c r="E7" i="36"/>
  <c r="B8" i="36"/>
  <c r="D8" i="35"/>
  <c r="E8" i="35"/>
  <c r="B9" i="35"/>
  <c r="D8" i="33"/>
  <c r="E8" i="33"/>
  <c r="B9" i="33"/>
  <c r="D8" i="32"/>
  <c r="E8" i="32"/>
  <c r="B9" i="32"/>
  <c r="D7" i="25"/>
  <c r="E7" i="25"/>
  <c r="B9" i="34"/>
  <c r="B11" i="42"/>
  <c r="D10" i="42"/>
  <c r="B11" i="41"/>
  <c r="D10" i="41"/>
  <c r="D10" i="40"/>
  <c r="E10" i="40"/>
  <c r="B11" i="40"/>
  <c r="D10" i="39"/>
  <c r="B11" i="39"/>
  <c r="D10" i="38"/>
  <c r="E10" i="38"/>
  <c r="B11" i="38"/>
  <c r="D10" i="37"/>
  <c r="E10" i="37"/>
  <c r="B11" i="37"/>
  <c r="B9" i="36"/>
  <c r="D8" i="36"/>
  <c r="E8" i="36"/>
  <c r="B10" i="35"/>
  <c r="D9" i="35"/>
  <c r="E9" i="35"/>
  <c r="B10" i="34"/>
  <c r="D9" i="34"/>
  <c r="E9" i="34"/>
  <c r="B10" i="33"/>
  <c r="D9" i="33"/>
  <c r="E9" i="33"/>
  <c r="B10" i="32"/>
  <c r="D9" i="32"/>
  <c r="D8" i="25"/>
  <c r="E8" i="25"/>
  <c r="B12" i="42"/>
  <c r="D11" i="42"/>
  <c r="B12" i="41"/>
  <c r="D11" i="41"/>
  <c r="E11" i="41"/>
  <c r="B12" i="40"/>
  <c r="D11" i="40"/>
  <c r="B12" i="39"/>
  <c r="D11" i="39"/>
  <c r="D11" i="38"/>
  <c r="E11" i="38"/>
  <c r="B12" i="38"/>
  <c r="D11" i="37"/>
  <c r="E11" i="37"/>
  <c r="B12" i="37"/>
  <c r="B10" i="36"/>
  <c r="D9" i="36"/>
  <c r="E9" i="36"/>
  <c r="B11" i="35"/>
  <c r="D10" i="35"/>
  <c r="E10" i="35"/>
  <c r="B11" i="34"/>
  <c r="B12" i="34"/>
  <c r="D10" i="34"/>
  <c r="B11" i="33"/>
  <c r="D10" i="33"/>
  <c r="B11" i="32"/>
  <c r="D10" i="32"/>
  <c r="D9" i="25"/>
  <c r="E9" i="25"/>
  <c r="E11" i="40"/>
  <c r="H11" i="40"/>
  <c r="G11" i="40"/>
  <c r="D12" i="42"/>
  <c r="B13" i="42"/>
  <c r="B13" i="41"/>
  <c r="D12" i="41"/>
  <c r="D12" i="40"/>
  <c r="D12" i="39"/>
  <c r="B13" i="39"/>
  <c r="B13" i="38"/>
  <c r="D12" i="38"/>
  <c r="E12" i="38"/>
  <c r="B13" i="37"/>
  <c r="D12" i="37"/>
  <c r="E12" i="37"/>
  <c r="D10" i="36"/>
  <c r="E10" i="36"/>
  <c r="B11" i="36"/>
  <c r="D11" i="35"/>
  <c r="E11" i="35"/>
  <c r="B12" i="35"/>
  <c r="D12" i="34"/>
  <c r="B13" i="34"/>
  <c r="D13" i="34"/>
  <c r="D11" i="34"/>
  <c r="D11" i="33"/>
  <c r="E11" i="33"/>
  <c r="B12" i="33"/>
  <c r="D11" i="32"/>
  <c r="E11" i="32"/>
  <c r="B12" i="32"/>
  <c r="D10" i="25"/>
  <c r="E10" i="25"/>
  <c r="E12" i="34"/>
  <c r="H12" i="34"/>
  <c r="G12" i="34"/>
  <c r="E13" i="34"/>
  <c r="H13" i="34"/>
  <c r="G13" i="34"/>
  <c r="E12" i="39"/>
  <c r="H12" i="39"/>
  <c r="G12" i="39"/>
  <c r="N11" i="40"/>
  <c r="O11" i="40"/>
  <c r="L11" i="40"/>
  <c r="I11" i="40"/>
  <c r="K11" i="40"/>
  <c r="P11" i="40"/>
  <c r="M11" i="40"/>
  <c r="J11" i="40"/>
  <c r="V11" i="40"/>
  <c r="S11" i="40"/>
  <c r="W11" i="40"/>
  <c r="X11" i="40"/>
  <c r="U11" i="40"/>
  <c r="R11" i="40"/>
  <c r="T11" i="40"/>
  <c r="Q11" i="40"/>
  <c r="E12" i="40"/>
  <c r="H12" i="40"/>
  <c r="G12" i="40"/>
  <c r="E12" i="41"/>
  <c r="H12" i="41"/>
  <c r="G12" i="41"/>
  <c r="E12" i="42"/>
  <c r="H12" i="42"/>
  <c r="G12" i="42"/>
  <c r="D13" i="42"/>
  <c r="D13" i="41"/>
  <c r="D13" i="39"/>
  <c r="B14" i="38"/>
  <c r="D13" i="38"/>
  <c r="B14" i="37"/>
  <c r="D13" i="37"/>
  <c r="D11" i="36"/>
  <c r="E11" i="36"/>
  <c r="B12" i="36"/>
  <c r="D12" i="35"/>
  <c r="E12" i="35"/>
  <c r="B13" i="35"/>
  <c r="D12" i="33"/>
  <c r="E12" i="33"/>
  <c r="B13" i="33"/>
  <c r="D12" i="32"/>
  <c r="E12" i="32"/>
  <c r="B13" i="32"/>
  <c r="N12" i="34"/>
  <c r="L12" i="34"/>
  <c r="O12" i="34"/>
  <c r="P12" i="34"/>
  <c r="K12" i="34"/>
  <c r="M12" i="34"/>
  <c r="J12" i="34"/>
  <c r="I12" i="34"/>
  <c r="P13" i="34"/>
  <c r="I13" i="34"/>
  <c r="M13" i="34"/>
  <c r="J13" i="34"/>
  <c r="L13" i="34"/>
  <c r="N13" i="34"/>
  <c r="K13" i="34"/>
  <c r="O13" i="34"/>
  <c r="V12" i="34"/>
  <c r="S12" i="34"/>
  <c r="W12" i="34"/>
  <c r="U12" i="34"/>
  <c r="T12" i="34"/>
  <c r="X12" i="34"/>
  <c r="Q12" i="34"/>
  <c r="R12" i="34"/>
  <c r="Q13" i="34"/>
  <c r="T13" i="34"/>
  <c r="R13" i="34"/>
  <c r="S13" i="34"/>
  <c r="E13" i="37"/>
  <c r="H13" i="37"/>
  <c r="G13" i="37"/>
  <c r="E13" i="38"/>
  <c r="H13" i="38"/>
  <c r="G13" i="38"/>
  <c r="V12" i="39"/>
  <c r="W12" i="39"/>
  <c r="S12" i="39"/>
  <c r="T12" i="39"/>
  <c r="Q12" i="39"/>
  <c r="X12" i="39"/>
  <c r="U12" i="39"/>
  <c r="R12" i="39"/>
  <c r="E13" i="39"/>
  <c r="G13" i="39"/>
  <c r="H13" i="39"/>
  <c r="N12" i="39"/>
  <c r="O12" i="39"/>
  <c r="J12" i="39"/>
  <c r="K12" i="39"/>
  <c r="P12" i="39"/>
  <c r="L12" i="39"/>
  <c r="I12" i="39"/>
  <c r="M12" i="39"/>
  <c r="P12" i="40"/>
  <c r="I12" i="40"/>
  <c r="M12" i="40"/>
  <c r="L12" i="40"/>
  <c r="J12" i="40"/>
  <c r="K12" i="40"/>
  <c r="N12" i="40"/>
  <c r="O12" i="40"/>
  <c r="Q12" i="40"/>
  <c r="T12" i="40"/>
  <c r="R12" i="40"/>
  <c r="S12" i="40"/>
  <c r="E13" i="41"/>
  <c r="H13" i="41"/>
  <c r="G13" i="41"/>
  <c r="V12" i="41"/>
  <c r="W12" i="41"/>
  <c r="S12" i="41"/>
  <c r="X12" i="41"/>
  <c r="Q12" i="41"/>
  <c r="U12" i="41"/>
  <c r="T12" i="41"/>
  <c r="R12" i="41"/>
  <c r="N12" i="41"/>
  <c r="K12" i="41"/>
  <c r="L12" i="41"/>
  <c r="O12" i="41"/>
  <c r="P12" i="41"/>
  <c r="I12" i="41"/>
  <c r="J12" i="41"/>
  <c r="M12" i="41"/>
  <c r="N12" i="42"/>
  <c r="L12" i="42"/>
  <c r="K12" i="42"/>
  <c r="P12" i="42"/>
  <c r="I12" i="42"/>
  <c r="O12" i="42"/>
  <c r="M12" i="42"/>
  <c r="J12" i="42"/>
  <c r="V12" i="42"/>
  <c r="W12" i="42"/>
  <c r="S12" i="42"/>
  <c r="U12" i="42"/>
  <c r="X12" i="42"/>
  <c r="R12" i="42"/>
  <c r="Q12" i="42"/>
  <c r="T12" i="42"/>
  <c r="E13" i="42"/>
  <c r="H13" i="42"/>
  <c r="G13" i="42"/>
  <c r="D14" i="38"/>
  <c r="D14" i="37"/>
  <c r="B13" i="36"/>
  <c r="D12" i="36"/>
  <c r="E12" i="36"/>
  <c r="B14" i="35"/>
  <c r="D13" i="35"/>
  <c r="B14" i="33"/>
  <c r="D13" i="33"/>
  <c r="E13" i="33"/>
  <c r="B14" i="32"/>
  <c r="D13" i="32"/>
  <c r="E13" i="32"/>
  <c r="D12" i="25"/>
  <c r="E12" i="25"/>
  <c r="E13" i="35"/>
  <c r="G13" i="35"/>
  <c r="H13" i="35"/>
  <c r="E14" i="37"/>
  <c r="H14" i="37"/>
  <c r="G14" i="37"/>
  <c r="V13" i="37"/>
  <c r="W13" i="37"/>
  <c r="S13" i="37"/>
  <c r="Q13" i="37"/>
  <c r="X13" i="37"/>
  <c r="U13" i="37"/>
  <c r="R13" i="37"/>
  <c r="T13" i="37"/>
  <c r="N13" i="37"/>
  <c r="L13" i="37"/>
  <c r="I13" i="37"/>
  <c r="K13" i="37"/>
  <c r="P13" i="37"/>
  <c r="M13" i="37"/>
  <c r="O13" i="37"/>
  <c r="J13" i="37"/>
  <c r="N13" i="38"/>
  <c r="O13" i="38"/>
  <c r="K13" i="38"/>
  <c r="I13" i="38"/>
  <c r="L13" i="38"/>
  <c r="P13" i="38"/>
  <c r="M13" i="38"/>
  <c r="J13" i="38"/>
  <c r="V13" i="38"/>
  <c r="W13" i="38"/>
  <c r="S13" i="38"/>
  <c r="X13" i="38"/>
  <c r="Q13" i="38"/>
  <c r="U13" i="38"/>
  <c r="T13" i="38"/>
  <c r="R13" i="38"/>
  <c r="E14" i="38"/>
  <c r="H14" i="38"/>
  <c r="G14" i="38"/>
  <c r="R13" i="39"/>
  <c r="S13" i="39"/>
  <c r="Q13" i="39"/>
  <c r="T13" i="39"/>
  <c r="P13" i="39"/>
  <c r="J13" i="39"/>
  <c r="I13" i="39"/>
  <c r="M13" i="39"/>
  <c r="N13" i="39"/>
  <c r="O13" i="39"/>
  <c r="K13" i="39"/>
  <c r="L13" i="39"/>
  <c r="P13" i="41"/>
  <c r="M13" i="41"/>
  <c r="I13" i="41"/>
  <c r="L13" i="41"/>
  <c r="O13" i="41"/>
  <c r="J13" i="41"/>
  <c r="N13" i="41"/>
  <c r="K13" i="41"/>
  <c r="Q13" i="41"/>
  <c r="S13" i="41"/>
  <c r="T13" i="41"/>
  <c r="R13" i="41"/>
  <c r="Q13" i="42"/>
  <c r="T13" i="42"/>
  <c r="R13" i="42"/>
  <c r="S13" i="42"/>
  <c r="P13" i="42"/>
  <c r="M13" i="42"/>
  <c r="I13" i="42"/>
  <c r="J13" i="42"/>
  <c r="L13" i="42"/>
  <c r="N13" i="42"/>
  <c r="K13" i="42"/>
  <c r="O13" i="42"/>
  <c r="B14" i="36"/>
  <c r="D13" i="36"/>
  <c r="B15" i="33"/>
  <c r="D14" i="33"/>
  <c r="B15" i="32"/>
  <c r="D14" i="32"/>
  <c r="E14" i="32"/>
  <c r="D13" i="25"/>
  <c r="E13" i="25"/>
  <c r="V13" i="35"/>
  <c r="W13" i="35"/>
  <c r="S13" i="35"/>
  <c r="T13" i="35"/>
  <c r="Q13" i="35"/>
  <c r="X13" i="35"/>
  <c r="U13" i="35"/>
  <c r="R13" i="35"/>
  <c r="E14" i="35"/>
  <c r="G14" i="35"/>
  <c r="N13" i="35"/>
  <c r="K13" i="35"/>
  <c r="J13" i="35"/>
  <c r="O13" i="35"/>
  <c r="L13" i="35"/>
  <c r="I13" i="35"/>
  <c r="P13" i="35"/>
  <c r="M13" i="35"/>
  <c r="E13" i="36"/>
  <c r="H13" i="36"/>
  <c r="G13" i="36"/>
  <c r="P14" i="37"/>
  <c r="M14" i="37"/>
  <c r="I14" i="37"/>
  <c r="J14" i="37"/>
  <c r="K14" i="37"/>
  <c r="L14" i="37"/>
  <c r="N14" i="37"/>
  <c r="O14" i="37"/>
  <c r="P14" i="38"/>
  <c r="M14" i="38"/>
  <c r="I14" i="38"/>
  <c r="L14" i="38"/>
  <c r="J14" i="38"/>
  <c r="K14" i="38"/>
  <c r="O14" i="38"/>
  <c r="N14" i="38"/>
  <c r="E14" i="33"/>
  <c r="G14" i="33"/>
  <c r="H14" i="33"/>
  <c r="D14" i="36"/>
  <c r="D15" i="33"/>
  <c r="D15" i="32"/>
  <c r="E15" i="32"/>
  <c r="D14" i="25"/>
  <c r="E14" i="25"/>
  <c r="P14" i="35"/>
  <c r="J14" i="35"/>
  <c r="I14" i="35"/>
  <c r="M14" i="35"/>
  <c r="N14" i="35"/>
  <c r="K14" i="35"/>
  <c r="L14" i="35"/>
  <c r="O14" i="35"/>
  <c r="E14" i="36"/>
  <c r="H14" i="36"/>
  <c r="G14" i="36"/>
  <c r="V13" i="36"/>
  <c r="W13" i="36"/>
  <c r="S13" i="36"/>
  <c r="X13" i="36"/>
  <c r="U13" i="36"/>
  <c r="R13" i="36"/>
  <c r="T13" i="36"/>
  <c r="Q13" i="36"/>
  <c r="N13" i="36"/>
  <c r="K13" i="36"/>
  <c r="O13" i="36"/>
  <c r="L13" i="36"/>
  <c r="I13" i="36"/>
  <c r="J13" i="36"/>
  <c r="P13" i="36"/>
  <c r="M13" i="36"/>
  <c r="V14" i="33"/>
  <c r="W14" i="33"/>
  <c r="S14" i="33"/>
  <c r="T14" i="33"/>
  <c r="Q14" i="33"/>
  <c r="R14" i="33"/>
  <c r="X14" i="33"/>
  <c r="U14" i="33"/>
  <c r="N14" i="33"/>
  <c r="P14" i="33"/>
  <c r="M14" i="33"/>
  <c r="J14" i="33"/>
  <c r="K14" i="33"/>
  <c r="L14" i="33"/>
  <c r="I14" i="33"/>
  <c r="O14" i="33"/>
  <c r="E15" i="33"/>
  <c r="G15" i="33"/>
  <c r="H15" i="33"/>
  <c r="D15" i="25"/>
  <c r="P14" i="36"/>
  <c r="M14" i="36"/>
  <c r="I14" i="36"/>
  <c r="L14" i="36"/>
  <c r="J14" i="36"/>
  <c r="K14" i="36"/>
  <c r="N14" i="36"/>
  <c r="O14" i="36"/>
  <c r="Q15" i="33"/>
  <c r="R15" i="33"/>
  <c r="S15" i="33"/>
  <c r="T15" i="33"/>
  <c r="P15" i="33"/>
  <c r="M15" i="33"/>
  <c r="I15" i="33"/>
  <c r="N15" i="33"/>
  <c r="O15" i="33"/>
  <c r="L15" i="33"/>
  <c r="J15" i="33"/>
  <c r="K15" i="33"/>
  <c r="E15" i="25"/>
  <c r="H15" i="25"/>
  <c r="G15" i="25"/>
  <c r="V15" i="25"/>
  <c r="W15" i="25"/>
  <c r="S15" i="25"/>
  <c r="T15" i="25"/>
  <c r="Q15" i="25"/>
  <c r="R15" i="25"/>
  <c r="U15" i="25"/>
  <c r="X15" i="25"/>
  <c r="E16" i="25"/>
  <c r="G16" i="25"/>
  <c r="N15" i="25"/>
  <c r="P15" i="25"/>
  <c r="M15" i="25"/>
  <c r="J15" i="25"/>
  <c r="L15" i="25"/>
  <c r="O15" i="25"/>
  <c r="I15" i="25"/>
  <c r="K15" i="25"/>
  <c r="Q16" i="25"/>
  <c r="R16" i="25"/>
  <c r="S16" i="25"/>
  <c r="T16" i="25"/>
  <c r="P16" i="25"/>
  <c r="M16" i="25"/>
  <c r="I16" i="25"/>
  <c r="N16" i="25"/>
  <c r="O16" i="25"/>
  <c r="L16" i="25"/>
  <c r="K16" i="25"/>
  <c r="J16" i="25"/>
</calcChain>
</file>

<file path=xl/sharedStrings.xml><?xml version="1.0" encoding="utf-8"?>
<sst xmlns="http://schemas.openxmlformats.org/spreadsheetml/2006/main" count="779" uniqueCount="171">
  <si>
    <t>Status</t>
  </si>
  <si>
    <t>HEX VALUE</t>
  </si>
  <si>
    <t>Count</t>
  </si>
  <si>
    <t>Start</t>
  </si>
  <si>
    <t>4 = Ambient T&amp;H Sensor</t>
  </si>
  <si>
    <t>Sequential Counter</t>
  </si>
  <si>
    <t>Temperature</t>
  </si>
  <si>
    <t>Humidity</t>
  </si>
  <si>
    <t>VOC</t>
  </si>
  <si>
    <t>CO2</t>
  </si>
  <si>
    <t>Alarm Status</t>
  </si>
  <si>
    <t>5 = Ambient T&amp;H / VOC Sensor</t>
  </si>
  <si>
    <t>6 = Ambient T&amp;H / VOC / CO2 Sensor</t>
  </si>
  <si>
    <t>7 = Temp Ins</t>
  </si>
  <si>
    <t>Temperature 2</t>
  </si>
  <si>
    <t>8 = Tx Pulse</t>
  </si>
  <si>
    <t>Pulse Ch1</t>
  </si>
  <si>
    <t>Pulse Ch2</t>
  </si>
  <si>
    <t>Pulse OC</t>
  </si>
  <si>
    <t>9 = Tx Pulse Atex</t>
  </si>
  <si>
    <t>12 = Tx Temp Cont2</t>
  </si>
  <si>
    <t>11 = Tx Contact</t>
  </si>
  <si>
    <t>10 = Tx Pulse LED</t>
  </si>
  <si>
    <t>4-20mA Value</t>
  </si>
  <si>
    <t>13= 4-20mA Tx</t>
  </si>
  <si>
    <t>14 = Tx T&amp;H</t>
  </si>
  <si>
    <t>15 = TxTemp Cont1</t>
  </si>
  <si>
    <t>00007705110100E3011F0014000000280000</t>
  </si>
  <si>
    <t>00008A07070100CD000000020000</t>
  </si>
  <si>
    <t>000095080C0100000020000000170000001E00000000</t>
  </si>
  <si>
    <t>0000A0090D01000000120000001A0000001800000000</t>
  </si>
  <si>
    <t>0000AA0A0D0100000000000000000000000A00000060</t>
  </si>
  <si>
    <t>0000B40B0E0100000018000000280000005600040001</t>
  </si>
  <si>
    <t>0000BD0C0A0100CE00CA00010000</t>
  </si>
  <si>
    <t>0000C70D0A01000200020000</t>
  </si>
  <si>
    <t>0000D10E0A0100CA018200010000</t>
  </si>
  <si>
    <t>0000DC0F0A0100D0000000000000</t>
  </si>
  <si>
    <t>Transmitter ID</t>
  </si>
  <si>
    <t>F/W (bits 3-0),  Settings (bits 7-4)</t>
  </si>
  <si>
    <t>Enter LoRaWAN String Below for Analysis</t>
  </si>
  <si>
    <t>DEC / BIN</t>
  </si>
  <si>
    <t>Fixed</t>
  </si>
  <si>
    <t>Hex</t>
  </si>
  <si>
    <t>Copy String Below and use to send on LoRaWAN network</t>
  </si>
  <si>
    <t>Periodicity (mins)</t>
  </si>
  <si>
    <t>Fixed (3)</t>
  </si>
  <si>
    <t>Fixed (0)</t>
  </si>
  <si>
    <t>Fixed (1)</t>
  </si>
  <si>
    <t xml:space="preserve">P1 </t>
  </si>
  <si>
    <t xml:space="preserve">P2 </t>
  </si>
  <si>
    <t xml:space="preserve">P3 </t>
  </si>
  <si>
    <t xml:space="preserve">P4 </t>
  </si>
  <si>
    <t xml:space="preserve">P5 </t>
  </si>
  <si>
    <t xml:space="preserve">P6 </t>
  </si>
  <si>
    <t xml:space="preserve">P7 </t>
  </si>
  <si>
    <t xml:space="preserve">P8 </t>
  </si>
  <si>
    <t xml:space="preserve">P9 </t>
  </si>
  <si>
    <t>P10</t>
  </si>
  <si>
    <t>P11</t>
  </si>
  <si>
    <t>P12</t>
  </si>
  <si>
    <t>Installation Packet = 3</t>
  </si>
  <si>
    <t>RE-Tx Time (secs)</t>
  </si>
  <si>
    <t>Transmitter Specific Fields 
(only change those in Green)</t>
  </si>
  <si>
    <t>VOC Hi Alarm (ppb)</t>
  </si>
  <si>
    <t>Hi Temp Alarm (degC)</t>
  </si>
  <si>
    <t>Lo Temp Alarm (degC)</t>
  </si>
  <si>
    <t>Hi Hum Alarm (%)</t>
  </si>
  <si>
    <t>Lo Hum Alarm (%)</t>
  </si>
  <si>
    <t>VOC Lo Alarm (ppb)</t>
  </si>
  <si>
    <t>CO2 Hi Alarm (ppm)</t>
  </si>
  <si>
    <t>CO2 Lo Alarm (ppm)</t>
  </si>
  <si>
    <t>Hi Temp Ch1 Alarm (degC)</t>
  </si>
  <si>
    <t>Lo Temp Ch1  Alarm (degC)</t>
  </si>
  <si>
    <t>Hi Temp Ch2 Alarm (degC)</t>
  </si>
  <si>
    <t>Lo Temp Ch2  Alarm (degC)</t>
  </si>
  <si>
    <t>4-20 Hi Alarm</t>
  </si>
  <si>
    <t>4-20 Lo Alarm</t>
  </si>
  <si>
    <t>Loop Power (msecs)</t>
  </si>
  <si>
    <t>Input 1 Flow Hi</t>
  </si>
  <si>
    <t>Input 1 Flow Lo</t>
  </si>
  <si>
    <t>Input 1 Flow Time  (Hrs)</t>
  </si>
  <si>
    <t>Input 1 Leak Threshold</t>
  </si>
  <si>
    <t>Input 2 Flow Hi</t>
  </si>
  <si>
    <t>Input 2 Flow Lo</t>
  </si>
  <si>
    <t>Input 2 Flow Time  (Hrs)</t>
  </si>
  <si>
    <t>Input 2 Leak Threshold</t>
  </si>
  <si>
    <t>OC Flow Hi</t>
  </si>
  <si>
    <t>OC Flow Lo</t>
  </si>
  <si>
    <t>OC Flow Time  (Hrs)</t>
  </si>
  <si>
    <t>OC Leak Threshold</t>
  </si>
  <si>
    <t>Input 1 delay before Tx (secs)</t>
  </si>
  <si>
    <t>Input 2 delay before Tx (secs)</t>
  </si>
  <si>
    <t>Below is used to construct the message to re-configure transmitter via the LoRaWAN network</t>
  </si>
  <si>
    <t>Generic Field Names</t>
  </si>
  <si>
    <t>000081060E1100D3016500AD026100800000</t>
  </si>
  <si>
    <t>1_00</t>
  </si>
  <si>
    <t>First Release</t>
  </si>
  <si>
    <t>2_00</t>
  </si>
  <si>
    <t>Added Installation Packet to all worksheets</t>
  </si>
  <si>
    <t>2_01</t>
  </si>
  <si>
    <t>Changed worksheet names to match product code, not name</t>
  </si>
  <si>
    <t>2_02</t>
  </si>
  <si>
    <t>Enxxx</t>
  </si>
  <si>
    <t>Code</t>
  </si>
  <si>
    <t>Description</t>
  </si>
  <si>
    <t>EN302</t>
  </si>
  <si>
    <t>600-021</t>
  </si>
  <si>
    <t>Ambient Temperature &amp; Humidity (EN302) TX T&amp;H AMB  600-021</t>
  </si>
  <si>
    <t>EN303</t>
  </si>
  <si>
    <t>600-022</t>
  </si>
  <si>
    <t>Ambient T&amp;H and VOC (EN303) TX VOC/T&amp;H AMB 600-022</t>
  </si>
  <si>
    <t>EN304</t>
  </si>
  <si>
    <t>600-023</t>
  </si>
  <si>
    <t>Ambient T&amp;H/ VOC / CO2 (EN304) TX  CO2/VOC/T&amp;H AMB 600-023</t>
  </si>
  <si>
    <t>EN305</t>
  </si>
  <si>
    <t>600-031</t>
  </si>
  <si>
    <t>Tx Temp with Internal Temp Sensor (EN305) TX TEMP INS 600-031</t>
  </si>
  <si>
    <t>EN306</t>
  </si>
  <si>
    <t>600-232</t>
  </si>
  <si>
    <t>Tx Temp PT1000 2-Ch (EN306) TX TEMP CONT2 600-232</t>
  </si>
  <si>
    <t>EN307</t>
  </si>
  <si>
    <t>600-035</t>
  </si>
  <si>
    <t>Tx Analog 4-20mA (EN307) TX 4/20 mA 600-035</t>
  </si>
  <si>
    <t>EN308</t>
  </si>
  <si>
    <t>600-036</t>
  </si>
  <si>
    <t>Tx Pulse (EN308) TX PULSE 600-036</t>
  </si>
  <si>
    <t>EN309</t>
  </si>
  <si>
    <t>600-037</t>
  </si>
  <si>
    <t>Tx Pulse Atex (EN309) TX PULSE ATEX 600-037</t>
  </si>
  <si>
    <t>EN310</t>
  </si>
  <si>
    <t>600-038</t>
  </si>
  <si>
    <t>Tx Pulse LED (EN310) TX PULSE LED 600-038</t>
  </si>
  <si>
    <t>EN311</t>
  </si>
  <si>
    <t>600-034</t>
  </si>
  <si>
    <t>Tx T&amp;H with External Probe (EN311) TX T&amp;H 600-034</t>
  </si>
  <si>
    <t>EN312</t>
  </si>
  <si>
    <t>600-032</t>
  </si>
  <si>
    <t>Tx Temp PT1000 1-Ch (EN312) TX TEMP CONT1 600-032</t>
  </si>
  <si>
    <t>EN313</t>
  </si>
  <si>
    <t>600-033</t>
  </si>
  <si>
    <t>Tx Temp PT1000 1-Ch Ext Power (EN313) TX TEMP CONT1 MP 600-033</t>
  </si>
  <si>
    <t>EN314</t>
  </si>
  <si>
    <t>600-233</t>
  </si>
  <si>
    <t>Tx Temp PT1000 2-Ch Ext Power (EN314) TX TEMP CONT2 MP 600-233</t>
  </si>
  <si>
    <t>EN319</t>
  </si>
  <si>
    <t>600-039</t>
  </si>
  <si>
    <t>Tx Contact (EN319) TX CONTACT 600-039</t>
  </si>
  <si>
    <t>EN324</t>
  </si>
  <si>
    <t>600-024</t>
  </si>
  <si>
    <t>Ambient T&amp;H / CO2 (EN324) TX  CO2/T&amp;H AMB 600-024</t>
  </si>
  <si>
    <t>Added new Product (EN324) - same as EN304 but without VOC</t>
  </si>
  <si>
    <t>assuming type 14 for new product - to be confirmed after development</t>
  </si>
  <si>
    <t>also to confirm alarm setting during development</t>
  </si>
  <si>
    <t>3_00</t>
  </si>
  <si>
    <t>Corrected Battery Level Status bits, added bit 0 for normal or alarm message</t>
  </si>
  <si>
    <t>Bits 3-2 for battery level
Battery Level
00 for 100%
01 for 75%
10 for 50%
11 for 25%</t>
  </si>
  <si>
    <t>4_00</t>
  </si>
  <si>
    <t>Added Negative temperature calcualtion in temperature transmitters</t>
  </si>
  <si>
    <t>00006D041301FFE501200000000000080000</t>
  </si>
  <si>
    <t>5_00</t>
  </si>
  <si>
    <t xml:space="preserve">Added Negative temperature Setting calcualtion in temperature transmitters </t>
  </si>
  <si>
    <t>6_00</t>
  </si>
  <si>
    <t>Error on displaying status of Pulse / Contact Inputs</t>
  </si>
  <si>
    <t>Corrected all Pulse sheets EN308, EN309, EN310, EN319</t>
  </si>
  <si>
    <t>7_00</t>
  </si>
  <si>
    <t>31 May 2022</t>
  </si>
  <si>
    <t>Removed useless sheets 600-024, 600-033 and 600-233</t>
  </si>
  <si>
    <t>Corrected TWU setting to Fixed</t>
  </si>
  <si>
    <t>7_01</t>
  </si>
  <si>
    <t>08 July 2022</t>
  </si>
  <si>
    <t>Corrected Retries setting to 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</si>
</sst>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9]dd\ mmmm\ yyyy;@"/>
  </numFmts>
  <fonts count="18" x14ac:knownFonts="1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E26B0A"/>
      <name val="Calibri"/>
      <family val="2"/>
    </font>
    <font>
      <sz val="14"/>
      <color rgb="FF008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2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NumberFormat="1" applyFill="1"/>
    <xf numFmtId="0" fontId="1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7" xfId="0" applyFill="1" applyBorder="1"/>
    <xf numFmtId="0" fontId="0" fillId="0" borderId="8" xfId="0" applyFill="1" applyBorder="1"/>
    <xf numFmtId="49" fontId="0" fillId="0" borderId="8" xfId="0" applyNumberFormat="1" applyFill="1" applyBorder="1" applyAlignment="1">
      <alignment horizontal="center"/>
    </xf>
    <xf numFmtId="0" fontId="0" fillId="0" borderId="8" xfId="0" applyNumberFormat="1" applyFill="1" applyBorder="1"/>
    <xf numFmtId="0" fontId="0" fillId="0" borderId="9" xfId="0" applyFill="1" applyBorder="1"/>
    <xf numFmtId="0" fontId="9" fillId="0" borderId="0" xfId="0" applyNumberFormat="1" applyFont="1" applyFill="1" applyBorder="1"/>
    <xf numFmtId="0" fontId="0" fillId="0" borderId="0" xfId="0" applyFill="1" applyBorder="1"/>
    <xf numFmtId="0" fontId="0" fillId="0" borderId="11" xfId="0" applyFill="1" applyBorder="1"/>
    <xf numFmtId="49" fontId="0" fillId="0" borderId="1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/>
    <xf numFmtId="0" fontId="1" fillId="0" borderId="1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0" fillId="0" borderId="0" xfId="0" quotePrefix="1" applyNumberFormat="1" applyFill="1" applyBorder="1" applyAlignment="1">
      <alignment horizontal="left"/>
    </xf>
    <xf numFmtId="0" fontId="0" fillId="0" borderId="10" xfId="0" applyFill="1" applyBorder="1"/>
    <xf numFmtId="0" fontId="0" fillId="0" borderId="12" xfId="0" applyFill="1" applyBorder="1"/>
    <xf numFmtId="0" fontId="0" fillId="0" borderId="13" xfId="0" applyFill="1" applyBorder="1"/>
    <xf numFmtId="49" fontId="0" fillId="0" borderId="13" xfId="0" applyNumberFormat="1" applyFill="1" applyBorder="1" applyAlignment="1">
      <alignment horizontal="center"/>
    </xf>
    <xf numFmtId="0" fontId="0" fillId="0" borderId="13" xfId="0" applyNumberFormat="1" applyFill="1" applyBorder="1"/>
    <xf numFmtId="0" fontId="0" fillId="0" borderId="14" xfId="0" applyFill="1" applyBorder="1"/>
    <xf numFmtId="0" fontId="10" fillId="0" borderId="0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9" fillId="0" borderId="8" xfId="0" applyNumberFormat="1" applyFont="1" applyFill="1" applyBorder="1"/>
    <xf numFmtId="0" fontId="6" fillId="0" borderId="11" xfId="0" applyFont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0" fontId="0" fillId="0" borderId="0" xfId="0" quotePrefix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left" wrapText="1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left" wrapText="1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left"/>
    </xf>
    <xf numFmtId="165" fontId="16" fillId="0" borderId="0" xfId="0" applyNumberFormat="1" applyFont="1" applyAlignment="1">
      <alignment horizontal="left" wrapText="1"/>
    </xf>
    <xf numFmtId="0" fontId="0" fillId="0" borderId="0" xfId="0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1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49" fontId="12" fillId="2" borderId="10" xfId="0" applyNumberFormat="1" applyFont="1" applyFill="1" applyBorder="1" applyAlignment="1">
      <alignment horizontal="left"/>
    </xf>
    <xf numFmtId="0" fontId="12" fillId="2" borderId="0" xfId="0" applyFont="1" applyFill="1" applyBorder="1" applyAlignment="1"/>
    <xf numFmtId="0" fontId="12" fillId="0" borderId="0" xfId="0" applyFont="1" applyBorder="1" applyAlignment="1"/>
    <xf numFmtId="0" fontId="13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0" fillId="0" borderId="0" xfId="0" applyBorder="1" applyAlignment="1"/>
    <xf numFmtId="0" fontId="15" fillId="3" borderId="15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10" xfId="0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0" borderId="10" xfId="0" quotePrefix="1" applyNumberForma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9" fillId="0" borderId="8" xfId="0" applyFont="1" applyBorder="1" applyAlignment="1"/>
    <xf numFmtId="0" fontId="9" fillId="0" borderId="9" xfId="0" applyFont="1" applyBorder="1" applyAlignment="1"/>
    <xf numFmtId="0" fontId="0" fillId="0" borderId="0" xfId="0" applyFill="1" applyBorder="1" applyAlignment="1"/>
    <xf numFmtId="0" fontId="0" fillId="0" borderId="11" xfId="0" applyBorder="1" applyAlignment="1"/>
    <xf numFmtId="0" fontId="13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quotePrefix="1" applyNumberForma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7" xfId="0" applyNumberFormat="1" applyFont="1" applyFill="1" applyBorder="1" applyAlignment="1">
      <alignment horizontal="left"/>
    </xf>
    <xf numFmtId="0" fontId="8" fillId="0" borderId="8" xfId="0" applyNumberFormat="1" applyFont="1" applyFill="1" applyBorder="1" applyAlignment="1">
      <alignment horizontal="left"/>
    </xf>
    <xf numFmtId="49" fontId="9" fillId="2" borderId="10" xfId="0" applyNumberFormat="1" applyFont="1" applyFill="1" applyBorder="1" applyAlignment="1">
      <alignment horizontal="left"/>
    </xf>
    <xf numFmtId="0" fontId="9" fillId="2" borderId="0" xfId="0" applyFont="1" applyFill="1" applyBorder="1" applyAlignment="1"/>
    <xf numFmtId="0" fontId="9" fillId="0" borderId="0" xfId="0" applyFont="1" applyBorder="1" applyAlignment="1"/>
    <xf numFmtId="0" fontId="0" fillId="0" borderId="0" xfId="0" applyAlignment="1">
      <alignment horizontal="center"/>
    </xf>
    <xf numFmtId="49" fontId="0" fillId="0" borderId="0" xfId="0" quotePrefix="1" applyNumberFormat="1" applyAlignment="1">
      <alignment horizontal="center"/>
    </xf>
  </cellXfs>
  <cellStyles count="22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01FFA-C591-8540-8273-117BABB62DFE}">
  <dimension ref="A2:F35"/>
  <sheetViews>
    <sheetView tabSelected="1" topLeftCell="A4" workbookViewId="0">
      <selection activeCell="B36" sqref="B36"/>
    </sheetView>
  </sheetViews>
  <sheetFormatPr baseColWidth="10" defaultRowHeight="14.4" x14ac:dyDescent="0.3"/>
  <cols>
    <col min="2" max="2" width="63.44140625" customWidth="1"/>
    <col min="4" max="4" width="19.77734375" customWidth="1"/>
    <col min="5" max="5" width="17" customWidth="1"/>
    <col min="6" max="6" width="65.33203125" customWidth="1"/>
  </cols>
  <sheetData>
    <row r="2" spans="1:6" s="53" customFormat="1" ht="13.2" x14ac:dyDescent="0.25">
      <c r="A2" s="52" t="s">
        <v>95</v>
      </c>
      <c r="B2" s="71">
        <v>43903</v>
      </c>
    </row>
    <row r="3" spans="1:6" s="53" customFormat="1" ht="13.8" thickBot="1" x14ac:dyDescent="0.3">
      <c r="A3" s="52"/>
      <c r="B3" s="54" t="s">
        <v>96</v>
      </c>
    </row>
    <row r="4" spans="1:6" s="53" customFormat="1" ht="15.6" thickTop="1" thickBot="1" x14ac:dyDescent="0.35">
      <c r="A4" s="52"/>
      <c r="D4" s="55" t="s">
        <v>102</v>
      </c>
      <c r="E4" s="56" t="s">
        <v>103</v>
      </c>
      <c r="F4" s="57" t="s">
        <v>104</v>
      </c>
    </row>
    <row r="5" spans="1:6" s="53" customFormat="1" ht="19.95" customHeight="1" thickTop="1" x14ac:dyDescent="0.3">
      <c r="A5" s="52" t="s">
        <v>97</v>
      </c>
      <c r="B5" s="71">
        <v>43910</v>
      </c>
      <c r="D5" s="58" t="s">
        <v>105</v>
      </c>
      <c r="E5" s="59" t="s">
        <v>106</v>
      </c>
      <c r="F5" s="60" t="s">
        <v>107</v>
      </c>
    </row>
    <row r="6" spans="1:6" s="53" customFormat="1" ht="19.95" customHeight="1" x14ac:dyDescent="0.3">
      <c r="A6" s="52"/>
      <c r="B6" s="54" t="s">
        <v>98</v>
      </c>
      <c r="D6" s="61" t="s">
        <v>108</v>
      </c>
      <c r="E6" s="62" t="s">
        <v>109</v>
      </c>
      <c r="F6" s="63" t="s">
        <v>110</v>
      </c>
    </row>
    <row r="7" spans="1:6" ht="19.95" customHeight="1" x14ac:dyDescent="0.3">
      <c r="D7" s="61" t="s">
        <v>111</v>
      </c>
      <c r="E7" s="62" t="s">
        <v>112</v>
      </c>
      <c r="F7" s="63" t="s">
        <v>113</v>
      </c>
    </row>
    <row r="8" spans="1:6" ht="19.95" customHeight="1" x14ac:dyDescent="0.3">
      <c r="A8" s="52" t="s">
        <v>99</v>
      </c>
      <c r="B8" s="71">
        <v>43912</v>
      </c>
      <c r="D8" s="61" t="s">
        <v>114</v>
      </c>
      <c r="E8" s="62" t="s">
        <v>115</v>
      </c>
      <c r="F8" s="63" t="s">
        <v>116</v>
      </c>
    </row>
    <row r="9" spans="1:6" ht="19.95" customHeight="1" x14ac:dyDescent="0.3">
      <c r="A9" s="52"/>
      <c r="B9" s="54" t="s">
        <v>100</v>
      </c>
      <c r="D9" s="61" t="s">
        <v>117</v>
      </c>
      <c r="E9" s="62" t="s">
        <v>118</v>
      </c>
      <c r="F9" s="63" t="s">
        <v>119</v>
      </c>
    </row>
    <row r="10" spans="1:6" ht="19.95" customHeight="1" x14ac:dyDescent="0.3">
      <c r="D10" s="61" t="s">
        <v>120</v>
      </c>
      <c r="E10" s="62" t="s">
        <v>121</v>
      </c>
      <c r="F10" s="63" t="s">
        <v>122</v>
      </c>
    </row>
    <row r="11" spans="1:6" ht="19.95" customHeight="1" x14ac:dyDescent="0.3">
      <c r="A11" s="52" t="s">
        <v>101</v>
      </c>
      <c r="B11" s="71">
        <v>43914</v>
      </c>
      <c r="D11" s="61" t="s">
        <v>123</v>
      </c>
      <c r="E11" s="62" t="s">
        <v>124</v>
      </c>
      <c r="F11" s="63" t="s">
        <v>125</v>
      </c>
    </row>
    <row r="12" spans="1:6" ht="19.95" customHeight="1" x14ac:dyDescent="0.3">
      <c r="A12" s="52"/>
      <c r="B12" s="54" t="s">
        <v>150</v>
      </c>
      <c r="D12" s="61" t="s">
        <v>126</v>
      </c>
      <c r="E12" s="62" t="s">
        <v>127</v>
      </c>
      <c r="F12" s="63" t="s">
        <v>128</v>
      </c>
    </row>
    <row r="13" spans="1:6" ht="19.95" customHeight="1" x14ac:dyDescent="0.3">
      <c r="B13" t="s">
        <v>151</v>
      </c>
      <c r="D13" s="61" t="s">
        <v>129</v>
      </c>
      <c r="E13" s="62" t="s">
        <v>130</v>
      </c>
      <c r="F13" s="63" t="s">
        <v>131</v>
      </c>
    </row>
    <row r="14" spans="1:6" ht="19.95" customHeight="1" x14ac:dyDescent="0.3">
      <c r="B14" t="s">
        <v>152</v>
      </c>
      <c r="D14" s="61" t="s">
        <v>132</v>
      </c>
      <c r="E14" s="62" t="s">
        <v>133</v>
      </c>
      <c r="F14" s="63" t="s">
        <v>134</v>
      </c>
    </row>
    <row r="15" spans="1:6" ht="19.95" customHeight="1" x14ac:dyDescent="0.3">
      <c r="D15" s="61" t="s">
        <v>135</v>
      </c>
      <c r="E15" s="62" t="s">
        <v>136</v>
      </c>
      <c r="F15" s="63" t="s">
        <v>137</v>
      </c>
    </row>
    <row r="16" spans="1:6" ht="19.95" customHeight="1" x14ac:dyDescent="0.3">
      <c r="A16" s="52" t="s">
        <v>153</v>
      </c>
      <c r="B16" s="71">
        <v>43945</v>
      </c>
      <c r="D16" s="61" t="s">
        <v>138</v>
      </c>
      <c r="E16" s="62" t="s">
        <v>139</v>
      </c>
      <c r="F16" s="63" t="s">
        <v>140</v>
      </c>
    </row>
    <row r="17" spans="1:6" ht="19.95" customHeight="1" x14ac:dyDescent="0.3">
      <c r="A17" s="52"/>
      <c r="B17" s="74" t="s">
        <v>154</v>
      </c>
      <c r="D17" s="61" t="s">
        <v>141</v>
      </c>
      <c r="E17" s="62" t="s">
        <v>142</v>
      </c>
      <c r="F17" s="63" t="s">
        <v>143</v>
      </c>
    </row>
    <row r="18" spans="1:6" ht="19.95" customHeight="1" x14ac:dyDescent="0.3">
      <c r="B18" s="75"/>
      <c r="D18" s="61" t="s">
        <v>144</v>
      </c>
      <c r="E18" s="62" t="s">
        <v>145</v>
      </c>
      <c r="F18" s="63" t="s">
        <v>146</v>
      </c>
    </row>
    <row r="19" spans="1:6" ht="19.95" customHeight="1" x14ac:dyDescent="0.3">
      <c r="D19" s="61" t="s">
        <v>147</v>
      </c>
      <c r="E19" s="62" t="s">
        <v>148</v>
      </c>
      <c r="F19" s="63" t="s">
        <v>149</v>
      </c>
    </row>
    <row r="20" spans="1:6" ht="19.95" customHeight="1" x14ac:dyDescent="0.3">
      <c r="A20" s="69" t="s">
        <v>156</v>
      </c>
      <c r="B20" s="70">
        <v>44162</v>
      </c>
      <c r="D20" s="61"/>
      <c r="E20" s="62"/>
      <c r="F20" s="63"/>
    </row>
    <row r="21" spans="1:6" ht="19.95" customHeight="1" thickBot="1" x14ac:dyDescent="0.35">
      <c r="B21" t="s">
        <v>157</v>
      </c>
      <c r="D21" s="64"/>
      <c r="E21" s="65"/>
      <c r="F21" s="66"/>
    </row>
    <row r="22" spans="1:6" ht="15" thickTop="1" x14ac:dyDescent="0.3"/>
    <row r="23" spans="1:6" x14ac:dyDescent="0.3">
      <c r="A23" s="69" t="s">
        <v>159</v>
      </c>
      <c r="B23" s="70">
        <v>44272</v>
      </c>
    </row>
    <row r="24" spans="1:6" x14ac:dyDescent="0.3">
      <c r="B24" t="s">
        <v>160</v>
      </c>
    </row>
    <row r="26" spans="1:6" x14ac:dyDescent="0.3">
      <c r="A26" s="69" t="s">
        <v>161</v>
      </c>
      <c r="B26" s="70">
        <v>44649</v>
      </c>
    </row>
    <row r="27" spans="1:6" x14ac:dyDescent="0.3">
      <c r="B27" t="s">
        <v>162</v>
      </c>
    </row>
    <row r="28" spans="1:6" x14ac:dyDescent="0.3">
      <c r="B28" t="s">
        <v>163</v>
      </c>
    </row>
    <row r="30" spans="1:6" x14ac:dyDescent="0.3">
      <c r="A30" s="69" t="s">
        <v>164</v>
      </c>
      <c r="B30" t="s">
        <v>165</v>
      </c>
    </row>
    <row r="31" spans="1:6" x14ac:dyDescent="0.3">
      <c r="B31" t="s">
        <v>166</v>
      </c>
    </row>
    <row r="32" spans="1:6" x14ac:dyDescent="0.3">
      <c r="B32" t="s">
        <v>167</v>
      </c>
    </row>
    <row r="34" spans="1:2" x14ac:dyDescent="0.3">
      <c r="A34" s="69" t="s">
        <v>168</v>
      </c>
      <c r="B34" t="s">
        <v>169</v>
      </c>
    </row>
    <row r="35" spans="1:2" x14ac:dyDescent="0.3">
      <c r="B35" t="s">
        <v>170</v>
      </c>
    </row>
  </sheetData>
  <mergeCells count="1">
    <mergeCell ref="B17:B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3645-67AF-7F4F-98AC-9AADD60B9F55}">
  <dimension ref="A1:X48"/>
  <sheetViews>
    <sheetView topLeftCell="A16" workbookViewId="0">
      <selection activeCell="B32" sqref="B32:G32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6.44140625" style="2" customWidth="1"/>
    <col min="5" max="5" width="13" style="1" customWidth="1"/>
    <col min="6" max="6" width="26.44140625" style="3" customWidth="1"/>
    <col min="7" max="7" width="9.109375" style="2" customWidth="1"/>
    <col min="8" max="8" width="9.6640625" style="2" customWidth="1"/>
    <col min="9" max="13" width="7.77734375" style="2" customWidth="1"/>
    <col min="14" max="14" width="13" style="2" customWidth="1"/>
    <col min="15" max="15" width="13.6640625" style="2" customWidth="1"/>
    <col min="16" max="16" width="13.33203125" style="2" customWidth="1"/>
    <col min="17" max="17" width="13.6640625" style="2" customWidth="1"/>
    <col min="18" max="18" width="14.44140625" style="2" customWidth="1"/>
    <col min="19" max="19" width="13.77734375" style="2" customWidth="1"/>
    <col min="20" max="20" width="13.44140625" style="2" customWidth="1"/>
    <col min="21" max="21" width="7.77734375" style="2" customWidth="1"/>
    <col min="22" max="24" width="13.44140625" style="2" customWidth="1"/>
    <col min="25" max="16384" width="10.77734375" style="2"/>
  </cols>
  <sheetData>
    <row r="1" spans="1:24" ht="15" thickBot="1" x14ac:dyDescent="0.35"/>
    <row r="2" spans="1:24" ht="18.600000000000001" thickTop="1" x14ac:dyDescent="0.35">
      <c r="B2" s="109" t="s">
        <v>39</v>
      </c>
      <c r="C2" s="110"/>
      <c r="D2" s="110"/>
      <c r="E2" s="110"/>
      <c r="F2" s="4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A3" s="4"/>
      <c r="B3" s="111" t="s">
        <v>31</v>
      </c>
      <c r="C3" s="112"/>
      <c r="D3" s="112"/>
      <c r="E3" s="112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x14ac:dyDescent="0.3">
      <c r="A4" s="4"/>
      <c r="B4" s="16"/>
      <c r="C4" s="14"/>
      <c r="D4" s="14"/>
      <c r="E4" s="17"/>
      <c r="F4" s="1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B5" s="19" t="s">
        <v>3</v>
      </c>
      <c r="C5" s="20" t="s">
        <v>2</v>
      </c>
      <c r="D5" s="21" t="s">
        <v>1</v>
      </c>
      <c r="E5" s="22" t="s">
        <v>40</v>
      </c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A6" s="4"/>
      <c r="B6" s="23">
        <v>1</v>
      </c>
      <c r="C6" s="24">
        <v>6</v>
      </c>
      <c r="D6" s="17" t="str">
        <f t="shared" ref="D6:D14" si="0">MID($B$3,B6,C6)</f>
        <v>0000AA</v>
      </c>
      <c r="E6" s="25">
        <f t="shared" ref="E6:E14" si="1">HEX2DEC(D6)</f>
        <v>170</v>
      </c>
      <c r="F6" s="18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f t="shared" ref="B7:B14" si="2">B6+C6</f>
        <v>7</v>
      </c>
      <c r="C7" s="24">
        <v>2</v>
      </c>
      <c r="D7" s="17" t="str">
        <f t="shared" si="0"/>
        <v>0A</v>
      </c>
      <c r="E7" s="25">
        <f t="shared" si="1"/>
        <v>10</v>
      </c>
      <c r="F7" s="18" t="s">
        <v>22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si="2"/>
        <v>9</v>
      </c>
      <c r="C8" s="24">
        <v>2</v>
      </c>
      <c r="D8" s="17" t="str">
        <f t="shared" si="0"/>
        <v>0D</v>
      </c>
      <c r="E8" s="25">
        <f t="shared" si="1"/>
        <v>13</v>
      </c>
      <c r="F8" s="18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2"/>
        <v>11</v>
      </c>
      <c r="C9" s="24">
        <v>2</v>
      </c>
      <c r="D9" s="17" t="str">
        <f t="shared" si="0"/>
        <v>01</v>
      </c>
      <c r="E9" s="26" t="str">
        <f>HEX2BIN(D9,8)</f>
        <v>00000001</v>
      </c>
      <c r="F9" s="27" t="s">
        <v>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2"/>
        <v>13</v>
      </c>
      <c r="C10" s="24">
        <v>8</v>
      </c>
      <c r="D10" s="17" t="str">
        <f t="shared" si="0"/>
        <v>00000000</v>
      </c>
      <c r="E10" s="25">
        <f t="shared" si="1"/>
        <v>0</v>
      </c>
      <c r="F10" s="18" t="s">
        <v>16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2"/>
        <v>21</v>
      </c>
      <c r="C11" s="24">
        <v>8</v>
      </c>
      <c r="D11" s="17" t="str">
        <f t="shared" si="0"/>
        <v>00000000</v>
      </c>
      <c r="E11" s="25">
        <f t="shared" si="1"/>
        <v>0</v>
      </c>
      <c r="F11" s="18" t="s">
        <v>17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3">
      <c r="A12" s="4"/>
      <c r="B12" s="23">
        <f t="shared" si="2"/>
        <v>29</v>
      </c>
      <c r="C12" s="24">
        <v>8</v>
      </c>
      <c r="D12" s="17" t="str">
        <f t="shared" si="0"/>
        <v>0000000A</v>
      </c>
      <c r="E12" s="25">
        <f t="shared" si="1"/>
        <v>10</v>
      </c>
      <c r="F12" s="18" t="s">
        <v>18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</row>
    <row r="13" spans="1:24" x14ac:dyDescent="0.3">
      <c r="A13" s="4"/>
      <c r="B13" s="23">
        <f t="shared" si="2"/>
        <v>37</v>
      </c>
      <c r="C13" s="24">
        <v>4</v>
      </c>
      <c r="D13" s="17" t="str">
        <f t="shared" si="0"/>
        <v>0000</v>
      </c>
      <c r="E13" s="25">
        <f t="shared" si="1"/>
        <v>0</v>
      </c>
      <c r="F13" s="18" t="s">
        <v>10</v>
      </c>
      <c r="G13" s="29" t="str">
        <f>HEX2BIN(MID(D13,1,2),8)</f>
        <v>00000000</v>
      </c>
      <c r="H13" s="29" t="str">
        <f>HEX2BIN(MID(D13,3,2),8)</f>
        <v>00000000</v>
      </c>
      <c r="I13" s="51">
        <f>IF((MID($G13,1,1)="0"),0,1)</f>
        <v>0</v>
      </c>
      <c r="J13" s="51">
        <f>IF((MID($G13,2,1)="0"),0,1)</f>
        <v>0</v>
      </c>
      <c r="K13" s="51">
        <f>IF((MID($G13,3,1)="0"),0,1)</f>
        <v>0</v>
      </c>
      <c r="L13" s="51">
        <f>IF((MID($G13,4,1)="0"),0,1)</f>
        <v>0</v>
      </c>
      <c r="M13" s="51">
        <f>IF((MID($G13,5,1)="0"),0,1)</f>
        <v>0</v>
      </c>
      <c r="N13" s="30" t="str">
        <f>IF((MID($G13,6,1)="0"),"OC Leak OK","OC Leak Alm")</f>
        <v>OC Leak OK</v>
      </c>
      <c r="O13" s="30" t="str">
        <f>IF((MID($G13,7,1)="0"),"Ch2 Leak OK","Ch2 Leak Alm")</f>
        <v>Ch2 Leak OK</v>
      </c>
      <c r="P13" s="30" t="str">
        <f>IF((MID($G13,8,1)="0"),"Ch1 Leak OK","Ch1 Leak Alm")</f>
        <v>Ch1 Leak OK</v>
      </c>
      <c r="Q13" s="51">
        <f>IF((MID($H13,1,1)="0"),0,1)</f>
        <v>0</v>
      </c>
      <c r="R13" s="31" t="str">
        <f>IF((MID($H13,2,1)="0"),"OC Lo Flow OK","OC Lo Flow Alm")</f>
        <v>OC Lo Flow OK</v>
      </c>
      <c r="S13" s="31" t="str">
        <f>IF((MID($H13,3,1)="0"),"Ch2 Lo Flow OK","Ch2 Lo Flow Alm")</f>
        <v>Ch2 Lo Flow OK</v>
      </c>
      <c r="T13" s="31" t="str">
        <f>IF((MID($H13,4,1)="0"),"Ch1 Lo Flow OK","Ch1 Lo Flow Alm")</f>
        <v>Ch1 Lo Flow OK</v>
      </c>
      <c r="U13" s="51">
        <f>IF((MID($H13,5,1)="0"),0,1)</f>
        <v>0</v>
      </c>
      <c r="V13" s="32" t="str">
        <f>IF((MID($H13,6,1)="0"),"OC Hi Flow OK","OC Hi Flow Alm")</f>
        <v>OC Hi Flow OK</v>
      </c>
      <c r="W13" s="32" t="str">
        <f>IF((MID($H13,7,1)="0"),"Ch2 Hi Flow OK","Ch2 Hi Flow Alm")</f>
        <v>Ch2 Hi Flow OK</v>
      </c>
      <c r="X13" s="45" t="str">
        <f>IF((MID($H13,8,1)="0"),"Ch1 Hi Flow OK","Ch1 Hi Flow Alm")</f>
        <v>Ch1 Hi Flow OK</v>
      </c>
    </row>
    <row r="14" spans="1:24" x14ac:dyDescent="0.3">
      <c r="A14" s="4"/>
      <c r="B14" s="23">
        <f t="shared" si="2"/>
        <v>41</v>
      </c>
      <c r="C14" s="24">
        <v>4</v>
      </c>
      <c r="D14" s="17" t="str">
        <f t="shared" si="0"/>
        <v>0060</v>
      </c>
      <c r="E14" s="25">
        <f t="shared" si="1"/>
        <v>96</v>
      </c>
      <c r="F14" s="33" t="s">
        <v>0</v>
      </c>
      <c r="G14" s="29" t="str">
        <f>HEX2BIN(MID(D14,1,2),8)</f>
        <v>00000000</v>
      </c>
      <c r="H14" s="29" t="str">
        <f>HEX2BIN(MID(D14,3,2),8)</f>
        <v>01100000</v>
      </c>
      <c r="I14" s="51">
        <f>IF((MID($G14,1,1)="0"),0,1)</f>
        <v>0</v>
      </c>
      <c r="J14" s="51">
        <f>IF((MID($G14,2,1)="0"),0,1)</f>
        <v>0</v>
      </c>
      <c r="K14" s="51">
        <f>IF((MID($G14,3,1)="0"),0,1)</f>
        <v>0</v>
      </c>
      <c r="L14" s="51">
        <f>IF((MID($G14,4,1)="0"),0,1)</f>
        <v>0</v>
      </c>
      <c r="M14" s="51">
        <f>IF((MID($G14,5,1)="0"),0,1)</f>
        <v>0</v>
      </c>
      <c r="N14" s="51">
        <f>IF((MID($G14,6,1)="0"),0,1)</f>
        <v>0</v>
      </c>
      <c r="O14" s="51">
        <f>IF((MID($G14,7,1)="0"),0,1)</f>
        <v>0</v>
      </c>
      <c r="P14" s="51">
        <f>IF((MID($G14,8,1)="0"),0,1)</f>
        <v>0</v>
      </c>
      <c r="Q14" s="31" t="str">
        <f>IF((MID($H14,1,1)="0"),"OC Open","OC Closed")</f>
        <v>OC Open</v>
      </c>
      <c r="R14" s="31" t="str">
        <f>IF((MID($H14,2,1)="0"),"Ch2 Open","Ch2 Closed")</f>
        <v>Ch2 Closed</v>
      </c>
      <c r="S14" s="31" t="str">
        <f>IF((MID($H14,3,1)="0"),"Ch1 Open","Ch1 Closed")</f>
        <v>Ch1 Closed</v>
      </c>
      <c r="T14" s="31">
        <f>IF((MID($H14,4,1)="0"),0,1)</f>
        <v>0</v>
      </c>
      <c r="U14" s="5">
        <f>IF((MID($H14,5,1)="0"),0,1)</f>
        <v>0</v>
      </c>
      <c r="V14" s="6">
        <f>IF((MID($H14,6,1)="0"),0,1)</f>
        <v>0</v>
      </c>
      <c r="W14" s="32">
        <f>IF((MID($H14,7,1)="0"),0,1)</f>
        <v>0</v>
      </c>
      <c r="X14" s="45" t="str">
        <f>IF((MID($H14,8,1)="0"),"Normal","Alarm")</f>
        <v>Normal</v>
      </c>
    </row>
    <row r="15" spans="1:24" ht="15" customHeight="1" x14ac:dyDescent="0.3">
      <c r="A15" s="4"/>
      <c r="B15" s="23"/>
      <c r="C15" s="24"/>
      <c r="D15" s="17"/>
      <c r="E15" s="25"/>
      <c r="F15" s="46"/>
      <c r="G15" s="47"/>
      <c r="H15" s="48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8" t="s">
        <v>155</v>
      </c>
      <c r="V15" s="89"/>
      <c r="W15" s="67"/>
      <c r="X15" s="68"/>
    </row>
    <row r="16" spans="1:24" x14ac:dyDescent="0.3">
      <c r="A16" s="4"/>
      <c r="B16" s="23"/>
      <c r="C16" s="24"/>
      <c r="D16" s="17"/>
      <c r="E16" s="28"/>
      <c r="F16" s="1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90"/>
      <c r="V16" s="89"/>
      <c r="W16" s="67"/>
      <c r="X16" s="68"/>
    </row>
    <row r="17" spans="2:24" x14ac:dyDescent="0.3">
      <c r="B17" s="34"/>
      <c r="C17" s="14"/>
      <c r="D17" s="14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0"/>
      <c r="V17" s="89"/>
      <c r="W17" s="67"/>
      <c r="X17" s="68"/>
    </row>
    <row r="18" spans="2:24" x14ac:dyDescent="0.3">
      <c r="B18" s="34"/>
      <c r="C18" s="14"/>
      <c r="D18" s="14"/>
      <c r="E18" s="28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0"/>
      <c r="V18" s="89"/>
      <c r="W18" s="67"/>
      <c r="X18" s="68"/>
    </row>
    <row r="19" spans="2:24" x14ac:dyDescent="0.3">
      <c r="B19" s="34"/>
      <c r="C19" s="14"/>
      <c r="D19" s="14"/>
      <c r="E19" s="28"/>
      <c r="F19" s="1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90"/>
      <c r="V19" s="89"/>
      <c r="W19" s="67"/>
      <c r="X19" s="68"/>
    </row>
    <row r="20" spans="2:24" x14ac:dyDescent="0.3">
      <c r="B20" s="34"/>
      <c r="C20" s="14"/>
      <c r="D20" s="14"/>
      <c r="E20" s="17"/>
      <c r="F20" s="18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91"/>
      <c r="V20" s="92"/>
      <c r="W20" s="67"/>
      <c r="X20" s="68"/>
    </row>
    <row r="21" spans="2:24" ht="15" thickBot="1" x14ac:dyDescent="0.35">
      <c r="B21" s="35"/>
      <c r="C21" s="36"/>
      <c r="D21" s="36"/>
      <c r="E21" s="37"/>
      <c r="F21" s="38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9"/>
    </row>
    <row r="22" spans="2:24" ht="15" thickTop="1" x14ac:dyDescent="0.3"/>
    <row r="24" spans="2:24" ht="15" thickBot="1" x14ac:dyDescent="0.35"/>
    <row r="25" spans="2:24" ht="27" thickTop="1" thickBot="1" x14ac:dyDescent="0.55000000000000004">
      <c r="B25" s="85" t="s">
        <v>92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</row>
    <row r="26" spans="2:24" ht="37.950000000000003" customHeight="1" thickTop="1" x14ac:dyDescent="0.35">
      <c r="B26" s="81" t="s">
        <v>93</v>
      </c>
      <c r="C26" s="82"/>
      <c r="D26" s="82"/>
      <c r="E26" s="103" t="s">
        <v>62</v>
      </c>
      <c r="F26" s="104"/>
      <c r="G26" s="105"/>
      <c r="H26" s="41" t="s">
        <v>42</v>
      </c>
      <c r="I26" s="98" t="s">
        <v>43</v>
      </c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99"/>
      <c r="V26" s="99"/>
      <c r="W26" s="100"/>
    </row>
    <row r="27" spans="2:24" x14ac:dyDescent="0.3">
      <c r="B27" s="83"/>
      <c r="C27" s="84"/>
      <c r="D27" s="84"/>
      <c r="E27" s="108"/>
      <c r="F27" s="84"/>
      <c r="G27" s="40"/>
      <c r="H27" s="40"/>
      <c r="I27" s="101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102"/>
    </row>
    <row r="28" spans="2:24" x14ac:dyDescent="0.3">
      <c r="B28" s="93" t="s">
        <v>41</v>
      </c>
      <c r="C28" s="84"/>
      <c r="D28" s="84"/>
      <c r="E28" s="106" t="s">
        <v>46</v>
      </c>
      <c r="F28" s="84"/>
      <c r="G28" s="51">
        <v>0</v>
      </c>
      <c r="H28" s="29" t="str">
        <f>DEC2HEX(G28,6)</f>
        <v>000000</v>
      </c>
      <c r="I28" s="96" t="str">
        <f>H28&amp;H29&amp;H30&amp;H31&amp;H32&amp;H33&amp;H34&amp;H35&amp;H36&amp;H37&amp;H38&amp;H39&amp;H40&amp;H41&amp;H42&amp;H43&amp;H44&amp;H45&amp;H46</f>
        <v>000000030000012C0000000000000000000000000000000000000000000000000000000001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6"/>
      <c r="V28" s="96"/>
      <c r="W28" s="97"/>
    </row>
    <row r="29" spans="2:24" x14ac:dyDescent="0.3">
      <c r="B29" s="93" t="s">
        <v>60</v>
      </c>
      <c r="C29" s="84"/>
      <c r="D29" s="84"/>
      <c r="E29" s="106" t="s">
        <v>45</v>
      </c>
      <c r="F29" s="84"/>
      <c r="G29" s="29">
        <v>3</v>
      </c>
      <c r="H29" s="29" t="str">
        <f>DEC2HEX(G29,2)</f>
        <v>03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6"/>
      <c r="V29" s="96"/>
      <c r="W29" s="97"/>
    </row>
    <row r="30" spans="2:24" x14ac:dyDescent="0.3">
      <c r="B30" s="93" t="s">
        <v>41</v>
      </c>
      <c r="C30" s="84"/>
      <c r="D30" s="84"/>
      <c r="E30" s="106" t="s">
        <v>46</v>
      </c>
      <c r="F30" s="84"/>
      <c r="G30" s="29">
        <v>0</v>
      </c>
      <c r="H30" s="29" t="str">
        <f>DEC2HEX(G30,4)</f>
        <v>0000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2:24" x14ac:dyDescent="0.3">
      <c r="B31" s="93" t="s">
        <v>61</v>
      </c>
      <c r="C31" s="84"/>
      <c r="D31" s="84"/>
      <c r="E31" s="106" t="s">
        <v>44</v>
      </c>
      <c r="F31" s="84"/>
      <c r="G31" s="42">
        <v>5</v>
      </c>
      <c r="H31" s="29" t="str">
        <f>DEC2HEX(G31*60,4)</f>
        <v>012C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2:24" x14ac:dyDescent="0.3">
      <c r="B32" s="93" t="s">
        <v>41</v>
      </c>
      <c r="C32" s="84"/>
      <c r="D32" s="84"/>
      <c r="E32" s="106" t="s">
        <v>46</v>
      </c>
      <c r="F32" s="84"/>
      <c r="G32" s="73">
        <v>0</v>
      </c>
      <c r="H32" s="29" t="str">
        <f t="shared" ref="H32" si="3">DEC2HEX(G32,4)</f>
        <v>0000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41</v>
      </c>
      <c r="C33" s="84"/>
      <c r="D33" s="84"/>
      <c r="E33" s="106" t="s">
        <v>46</v>
      </c>
      <c r="F33" s="84"/>
      <c r="G33" s="73">
        <v>0</v>
      </c>
      <c r="H33" s="29" t="str">
        <f>DEC2HEX(G33*3600,4)</f>
        <v>0000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48</v>
      </c>
      <c r="C34" s="84"/>
      <c r="D34" s="84"/>
      <c r="E34" s="106" t="s">
        <v>46</v>
      </c>
      <c r="F34" s="84"/>
      <c r="G34" s="7">
        <v>0</v>
      </c>
      <c r="H34" s="29" t="str">
        <f>DEC2HEX(G34,4)</f>
        <v>0000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3" t="s">
        <v>49</v>
      </c>
      <c r="C35" s="84"/>
      <c r="D35" s="84"/>
      <c r="E35" s="106" t="s">
        <v>46</v>
      </c>
      <c r="F35" s="84"/>
      <c r="G35" s="7">
        <v>0</v>
      </c>
      <c r="H35" s="29" t="str">
        <f>DEC2HEX(G35,4)</f>
        <v>0000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3" t="s">
        <v>50</v>
      </c>
      <c r="C36" s="84"/>
      <c r="D36" s="84"/>
      <c r="E36" s="106" t="s">
        <v>46</v>
      </c>
      <c r="F36" s="84"/>
      <c r="G36" s="7">
        <v>0</v>
      </c>
      <c r="H36" s="29" t="str">
        <f>DEC2HEX(G36,4)</f>
        <v>0000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5" t="s">
        <v>51</v>
      </c>
      <c r="C37" s="84"/>
      <c r="D37" s="84"/>
      <c r="E37" s="106" t="s">
        <v>46</v>
      </c>
      <c r="F37" s="84"/>
      <c r="G37" s="7">
        <v>0</v>
      </c>
      <c r="H37" s="29" t="str">
        <f>DEC2HEX(G37,4)</f>
        <v>0000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4" t="s">
        <v>52</v>
      </c>
      <c r="C38" s="84"/>
      <c r="D38" s="84"/>
      <c r="E38" s="106" t="s">
        <v>46</v>
      </c>
      <c r="F38" s="84"/>
      <c r="G38" s="7">
        <v>0</v>
      </c>
      <c r="H38" s="29" t="str">
        <f t="shared" ref="H38:H45" si="4">DEC2HEX(G38,4)</f>
        <v>0000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53</v>
      </c>
      <c r="C39" s="84"/>
      <c r="D39" s="84"/>
      <c r="E39" s="106" t="s">
        <v>46</v>
      </c>
      <c r="F39" s="84"/>
      <c r="G39" s="7">
        <v>0</v>
      </c>
      <c r="H39" s="29" t="str">
        <f t="shared" si="4"/>
        <v>0000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54</v>
      </c>
      <c r="C40" s="84"/>
      <c r="D40" s="84"/>
      <c r="E40" s="106" t="s">
        <v>46</v>
      </c>
      <c r="F40" s="84"/>
      <c r="G40" s="7">
        <v>0</v>
      </c>
      <c r="H40" s="29" t="str">
        <f t="shared" si="4"/>
        <v>0000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55</v>
      </c>
      <c r="C41" s="84"/>
      <c r="D41" s="84"/>
      <c r="E41" s="106" t="s">
        <v>46</v>
      </c>
      <c r="F41" s="84"/>
      <c r="G41" s="7">
        <v>0</v>
      </c>
      <c r="H41" s="29" t="str">
        <f t="shared" si="4"/>
        <v>0000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56</v>
      </c>
      <c r="C42" s="84"/>
      <c r="D42" s="84"/>
      <c r="E42" s="106" t="s">
        <v>46</v>
      </c>
      <c r="F42" s="84"/>
      <c r="G42" s="7">
        <v>0</v>
      </c>
      <c r="H42" s="29" t="str">
        <f t="shared" si="4"/>
        <v>0000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57</v>
      </c>
      <c r="C43" s="84"/>
      <c r="D43" s="84"/>
      <c r="E43" s="106" t="s">
        <v>46</v>
      </c>
      <c r="F43" s="84"/>
      <c r="G43" s="7">
        <v>0</v>
      </c>
      <c r="H43" s="29" t="str">
        <f t="shared" si="4"/>
        <v>0000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58</v>
      </c>
      <c r="C44" s="84"/>
      <c r="D44" s="84"/>
      <c r="E44" s="106" t="s">
        <v>46</v>
      </c>
      <c r="F44" s="84"/>
      <c r="G44" s="7">
        <v>0</v>
      </c>
      <c r="H44" s="29" t="str">
        <f t="shared" si="4"/>
        <v>0000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x14ac:dyDescent="0.3">
      <c r="B45" s="94" t="s">
        <v>59</v>
      </c>
      <c r="C45" s="84"/>
      <c r="D45" s="84"/>
      <c r="E45" s="106" t="s">
        <v>46</v>
      </c>
      <c r="F45" s="84"/>
      <c r="G45" s="7">
        <v>0</v>
      </c>
      <c r="H45" s="29" t="str">
        <f t="shared" si="4"/>
        <v>0000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</row>
    <row r="46" spans="2:23" x14ac:dyDescent="0.3">
      <c r="B46" s="94" t="s">
        <v>41</v>
      </c>
      <c r="C46" s="84"/>
      <c r="D46" s="84"/>
      <c r="E46" s="106" t="s">
        <v>47</v>
      </c>
      <c r="F46" s="84"/>
      <c r="G46" s="29">
        <v>1</v>
      </c>
      <c r="H46" s="29" t="str">
        <f>DEC2HEX(G46,2)</f>
        <v>01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5"/>
    </row>
    <row r="47" spans="2:23" ht="15" thickBot="1" x14ac:dyDescent="0.35">
      <c r="B47" s="35"/>
      <c r="C47" s="36"/>
      <c r="D47" s="36"/>
      <c r="E47" s="37"/>
      <c r="F47" s="38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9"/>
    </row>
    <row r="48" spans="2:23" ht="15" thickTop="1" x14ac:dyDescent="0.3"/>
  </sheetData>
  <mergeCells count="49">
    <mergeCell ref="B45:D45"/>
    <mergeCell ref="E45:F45"/>
    <mergeCell ref="B46:D46"/>
    <mergeCell ref="E46:F46"/>
    <mergeCell ref="B25:W25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B33:D33"/>
    <mergeCell ref="E33:F33"/>
    <mergeCell ref="B34:D34"/>
    <mergeCell ref="E34:F34"/>
    <mergeCell ref="B35:D35"/>
    <mergeCell ref="E35:F35"/>
    <mergeCell ref="B30:D30"/>
    <mergeCell ref="E30:F30"/>
    <mergeCell ref="B31:D31"/>
    <mergeCell ref="E31:F31"/>
    <mergeCell ref="B32:D32"/>
    <mergeCell ref="E32:F32"/>
    <mergeCell ref="B27:D27"/>
    <mergeCell ref="E27:F27"/>
    <mergeCell ref="I27:W27"/>
    <mergeCell ref="B28:D28"/>
    <mergeCell ref="E28:F28"/>
    <mergeCell ref="I28:W29"/>
    <mergeCell ref="B29:D29"/>
    <mergeCell ref="E29:F29"/>
    <mergeCell ref="B2:E2"/>
    <mergeCell ref="B3:F3"/>
    <mergeCell ref="B26:D26"/>
    <mergeCell ref="E26:G26"/>
    <mergeCell ref="I26:W26"/>
    <mergeCell ref="U15:V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18C79-3887-6D4E-951C-DBE835092D5D}">
  <dimension ref="A1:X47"/>
  <sheetViews>
    <sheetView topLeftCell="A10" workbookViewId="0">
      <selection activeCell="G31" sqref="B31:G31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3.33203125" style="2" customWidth="1"/>
    <col min="5" max="5" width="13" style="1" customWidth="1"/>
    <col min="6" max="6" width="25.77734375" style="3" customWidth="1"/>
    <col min="7" max="7" width="10" style="2" customWidth="1"/>
    <col min="8" max="8" width="11" style="2" customWidth="1"/>
    <col min="9" max="20" width="7.77734375" style="2" customWidth="1"/>
    <col min="21" max="16384" width="10.77734375" style="2"/>
  </cols>
  <sheetData>
    <row r="1" spans="1:24" ht="15" thickBot="1" x14ac:dyDescent="0.35"/>
    <row r="2" spans="1:24" ht="18.600000000000001" thickTop="1" x14ac:dyDescent="0.35">
      <c r="B2" s="109" t="s">
        <v>39</v>
      </c>
      <c r="C2" s="110"/>
      <c r="D2" s="110"/>
      <c r="E2" s="110"/>
      <c r="F2" s="4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A3" s="4"/>
      <c r="B3" s="111" t="s">
        <v>35</v>
      </c>
      <c r="C3" s="112"/>
      <c r="D3" s="112"/>
      <c r="E3" s="112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x14ac:dyDescent="0.3">
      <c r="A4" s="4"/>
      <c r="B4" s="16"/>
      <c r="C4" s="14"/>
      <c r="D4" s="14"/>
      <c r="E4" s="17"/>
      <c r="F4" s="1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B5" s="19" t="s">
        <v>3</v>
      </c>
      <c r="C5" s="20" t="s">
        <v>2</v>
      </c>
      <c r="D5" s="21" t="s">
        <v>1</v>
      </c>
      <c r="E5" s="22" t="s">
        <v>40</v>
      </c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A6" s="4"/>
      <c r="B6" s="23">
        <v>1</v>
      </c>
      <c r="C6" s="24">
        <v>6</v>
      </c>
      <c r="D6" s="17" t="str">
        <f t="shared" ref="D6:D13" si="0">MID($B$3,B6,C6)</f>
        <v>0000D1</v>
      </c>
      <c r="E6" s="25">
        <f>HEX2DEC(D6)</f>
        <v>209</v>
      </c>
      <c r="F6" s="18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f t="shared" ref="B7:B13" si="1">B6+C6</f>
        <v>7</v>
      </c>
      <c r="C7" s="24">
        <v>2</v>
      </c>
      <c r="D7" s="17" t="str">
        <f t="shared" si="0"/>
        <v>0E</v>
      </c>
      <c r="E7" s="25">
        <f>HEX2DEC(D7)</f>
        <v>14</v>
      </c>
      <c r="F7" s="18" t="s">
        <v>25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si="1"/>
        <v>9</v>
      </c>
      <c r="C8" s="24">
        <v>2</v>
      </c>
      <c r="D8" s="17" t="str">
        <f t="shared" si="0"/>
        <v>0A</v>
      </c>
      <c r="E8" s="25">
        <f>HEX2DEC(D8)</f>
        <v>10</v>
      </c>
      <c r="F8" s="18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1"/>
        <v>11</v>
      </c>
      <c r="C9" s="24">
        <v>2</v>
      </c>
      <c r="D9" s="17" t="str">
        <f t="shared" si="0"/>
        <v>01</v>
      </c>
      <c r="E9" s="26" t="str">
        <f>HEX2BIN(D9,8)</f>
        <v>00000001</v>
      </c>
      <c r="F9" s="27" t="s">
        <v>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1"/>
        <v>13</v>
      </c>
      <c r="C10" s="24">
        <v>4</v>
      </c>
      <c r="D10" s="17" t="str">
        <f t="shared" si="0"/>
        <v>00CA</v>
      </c>
      <c r="E10" s="7">
        <f>IF(LEFT(D10,1)&gt;="A",(HEX2DEC(D10)-65536)/10,HEX2DEC(D10)/10)</f>
        <v>20.2</v>
      </c>
      <c r="F10" s="18" t="s">
        <v>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1"/>
        <v>17</v>
      </c>
      <c r="C11" s="24">
        <v>4</v>
      </c>
      <c r="D11" s="17" t="str">
        <f t="shared" si="0"/>
        <v>0182</v>
      </c>
      <c r="E11" s="28">
        <f>HEX2DEC(D11)/10</f>
        <v>38.6</v>
      </c>
      <c r="F11" s="18" t="s">
        <v>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3">
      <c r="A12" s="4"/>
      <c r="B12" s="23">
        <f t="shared" si="1"/>
        <v>21</v>
      </c>
      <c r="C12" s="24">
        <v>4</v>
      </c>
      <c r="D12" s="17" t="str">
        <f t="shared" si="0"/>
        <v>0001</v>
      </c>
      <c r="E12" s="25">
        <f>HEX2DEC(D12)</f>
        <v>1</v>
      </c>
      <c r="F12" s="18" t="s">
        <v>10</v>
      </c>
      <c r="G12" s="29" t="str">
        <f>HEX2BIN(MID(D12,1,2),8)</f>
        <v>00000000</v>
      </c>
      <c r="H12" s="29" t="str">
        <f>HEX2BIN(MID(D12,3,2),8)</f>
        <v>00000001</v>
      </c>
      <c r="I12" s="51">
        <f>IF((MID($G12,1,1)="0"),0,1)</f>
        <v>0</v>
      </c>
      <c r="J12" s="51">
        <f>IF((MID($G12,2,1)="0"),0,1)</f>
        <v>0</v>
      </c>
      <c r="K12" s="51">
        <f>IF((MID($G12,3,1)="0"),0,1)</f>
        <v>0</v>
      </c>
      <c r="L12" s="51">
        <f>IF((MID($G12,4,1)="0"),0,1)</f>
        <v>0</v>
      </c>
      <c r="M12" s="51">
        <f>IF((MID($G12,5,1)="0"),0,1)</f>
        <v>0</v>
      </c>
      <c r="N12" s="51">
        <f>IF((MID($G12,6,1)="0"),0,1)</f>
        <v>0</v>
      </c>
      <c r="O12" s="51">
        <f>IF((MID($G12,7,1)="0"),0,1)</f>
        <v>0</v>
      </c>
      <c r="P12" s="51">
        <f>IF((MID($G12,8,1)="0"),0,1)</f>
        <v>0</v>
      </c>
      <c r="Q12" s="51">
        <f>IF((MID($H12,1,1)="0"),0,1)</f>
        <v>0</v>
      </c>
      <c r="R12" s="51">
        <f>IF((MID($H12,2,1)="0"),0,1)</f>
        <v>0</v>
      </c>
      <c r="S12" s="51">
        <f>IF((MID($H12,3,1)="0"),0,1)</f>
        <v>0</v>
      </c>
      <c r="T12" s="51">
        <f>IF((MID($H12,4,1)="0"),0,1)</f>
        <v>0</v>
      </c>
      <c r="U12" s="32" t="str">
        <f>IF((MID($H12,5,1)="0"),"Hum Lo OK","Hum Lo Alm")</f>
        <v>Hum Lo OK</v>
      </c>
      <c r="V12" s="32" t="str">
        <f>IF((MID($H12,6,1)="0"),"Hum Hi OK","Hum Hi Alm")</f>
        <v>Hum Hi OK</v>
      </c>
      <c r="W12" s="32" t="str">
        <f>IF((MID($H12,7,1)="0"),"Temp Lo OK","Temp Lo Alm")</f>
        <v>Temp Lo OK</v>
      </c>
      <c r="X12" s="45" t="str">
        <f>IF((MID($H12,8,1)="0"),"Temp Hi OK","Temp Hi Alm")</f>
        <v>Temp Hi Alm</v>
      </c>
    </row>
    <row r="13" spans="1:24" x14ac:dyDescent="0.3">
      <c r="A13" s="4"/>
      <c r="B13" s="23">
        <f t="shared" si="1"/>
        <v>25</v>
      </c>
      <c r="C13" s="24">
        <v>4</v>
      </c>
      <c r="D13" s="17" t="str">
        <f t="shared" si="0"/>
        <v>0000</v>
      </c>
      <c r="E13" s="25">
        <f>HEX2DEC(D13)</f>
        <v>0</v>
      </c>
      <c r="F13" s="33" t="s">
        <v>0</v>
      </c>
      <c r="G13" s="29" t="str">
        <f>HEX2BIN(MID(D13,1,2),8)</f>
        <v>00000000</v>
      </c>
      <c r="H13" s="29" t="str">
        <f>HEX2BIN(MID(D13,3,2),8)</f>
        <v>00000000</v>
      </c>
      <c r="I13" s="51">
        <f>IF((MID($G13,1,1)="0"),0,1)</f>
        <v>0</v>
      </c>
      <c r="J13" s="51">
        <f>IF((MID($G13,2,1)="0"),0,1)</f>
        <v>0</v>
      </c>
      <c r="K13" s="51">
        <f>IF((MID($G13,3,1)="0"),0,1)</f>
        <v>0</v>
      </c>
      <c r="L13" s="51">
        <f>IF((MID($G13,4,1)="0"),0,1)</f>
        <v>0</v>
      </c>
      <c r="M13" s="51">
        <f>IF((MID($G13,5,1)="0"),0,1)</f>
        <v>0</v>
      </c>
      <c r="N13" s="51">
        <f>IF((MID($G13,6,1)="0"),0,1)</f>
        <v>0</v>
      </c>
      <c r="O13" s="51">
        <f>IF((MID($G13,7,1)="0"),0,1)</f>
        <v>0</v>
      </c>
      <c r="P13" s="51">
        <f>IF((MID($G13,8,1)="0"),0,1)</f>
        <v>0</v>
      </c>
      <c r="Q13" s="51">
        <f>IF((MID($H13,1,1)="0"),0,1)</f>
        <v>0</v>
      </c>
      <c r="R13" s="51">
        <f>IF((MID($H13,2,1)="0"),0,1)</f>
        <v>0</v>
      </c>
      <c r="S13" s="51">
        <f>IF((MID($H13,3,1)="0"),0,1)</f>
        <v>0</v>
      </c>
      <c r="T13" s="51">
        <f>IF((MID($H13,4,1)="0"),0,1)</f>
        <v>0</v>
      </c>
      <c r="U13" s="5">
        <f>IF((MID($H13,5,1)="0"),0,1)</f>
        <v>0</v>
      </c>
      <c r="V13" s="6">
        <f>IF((MID($H13,6,1)="0"),0,1)</f>
        <v>0</v>
      </c>
      <c r="W13" s="32">
        <f>IF((MID($H13,7,1)="0"),0,1)</f>
        <v>0</v>
      </c>
      <c r="X13" s="45" t="str">
        <f>IF((MID($H13,8,1)="0"),"Normal","Alarm")</f>
        <v>Normal</v>
      </c>
    </row>
    <row r="14" spans="1:24" ht="15" customHeight="1" x14ac:dyDescent="0.3">
      <c r="A14" s="4"/>
      <c r="B14" s="23"/>
      <c r="C14" s="24"/>
      <c r="D14" s="17"/>
      <c r="E14" s="28"/>
      <c r="F14" s="1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8" t="s">
        <v>155</v>
      </c>
      <c r="V14" s="89"/>
      <c r="W14" s="67"/>
      <c r="X14" s="68"/>
    </row>
    <row r="15" spans="1:24" x14ac:dyDescent="0.3">
      <c r="B15" s="34"/>
      <c r="C15" s="14"/>
      <c r="D15" s="14"/>
      <c r="E15" s="28"/>
      <c r="F15" s="1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90"/>
      <c r="V15" s="89"/>
      <c r="W15" s="67"/>
      <c r="X15" s="68"/>
    </row>
    <row r="16" spans="1:24" x14ac:dyDescent="0.3">
      <c r="B16" s="34"/>
      <c r="C16" s="14"/>
      <c r="D16" s="14"/>
      <c r="E16" s="28"/>
      <c r="F16" s="1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90"/>
      <c r="V16" s="89"/>
      <c r="W16" s="67"/>
      <c r="X16" s="68"/>
    </row>
    <row r="17" spans="2:24" x14ac:dyDescent="0.3">
      <c r="B17" s="34"/>
      <c r="C17" s="14"/>
      <c r="D17" s="14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0"/>
      <c r="V17" s="89"/>
      <c r="W17" s="67"/>
      <c r="X17" s="68"/>
    </row>
    <row r="18" spans="2:24" x14ac:dyDescent="0.3">
      <c r="B18" s="34"/>
      <c r="C18" s="14"/>
      <c r="D18" s="14"/>
      <c r="E18" s="17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0"/>
      <c r="V18" s="89"/>
      <c r="W18" s="67"/>
      <c r="X18" s="68"/>
    </row>
    <row r="19" spans="2:24" x14ac:dyDescent="0.3">
      <c r="B19" s="34"/>
      <c r="C19" s="14"/>
      <c r="D19" s="14"/>
      <c r="E19" s="17"/>
      <c r="F19" s="1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91"/>
      <c r="V19" s="92"/>
      <c r="W19" s="67"/>
      <c r="X19" s="68"/>
    </row>
    <row r="20" spans="2:24" ht="15" thickBot="1" x14ac:dyDescent="0.35">
      <c r="B20" s="35"/>
      <c r="C20" s="36"/>
      <c r="D20" s="36"/>
      <c r="E20" s="37"/>
      <c r="F20" s="38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9"/>
    </row>
    <row r="21" spans="2:24" ht="15" thickTop="1" x14ac:dyDescent="0.3"/>
    <row r="23" spans="2:24" ht="15" thickBot="1" x14ac:dyDescent="0.35"/>
    <row r="24" spans="2:24" ht="27" thickTop="1" thickBot="1" x14ac:dyDescent="0.55000000000000004">
      <c r="B24" s="85" t="s">
        <v>92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7"/>
    </row>
    <row r="25" spans="2:24" ht="45" customHeight="1" thickTop="1" x14ac:dyDescent="0.35">
      <c r="B25" s="81" t="s">
        <v>93</v>
      </c>
      <c r="C25" s="82"/>
      <c r="D25" s="82"/>
      <c r="E25" s="103" t="s">
        <v>62</v>
      </c>
      <c r="F25" s="104"/>
      <c r="G25" s="105"/>
      <c r="H25" s="41" t="s">
        <v>42</v>
      </c>
      <c r="I25" s="98" t="s">
        <v>43</v>
      </c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99"/>
      <c r="V25" s="99"/>
      <c r="W25" s="100"/>
    </row>
    <row r="26" spans="2:24" x14ac:dyDescent="0.3">
      <c r="B26" s="83"/>
      <c r="C26" s="84"/>
      <c r="D26" s="84"/>
      <c r="E26" s="108"/>
      <c r="F26" s="84"/>
      <c r="G26" s="40"/>
      <c r="H26" s="40"/>
      <c r="I26" s="101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102"/>
    </row>
    <row r="27" spans="2:24" x14ac:dyDescent="0.3">
      <c r="B27" s="93" t="s">
        <v>41</v>
      </c>
      <c r="C27" s="84"/>
      <c r="D27" s="84"/>
      <c r="E27" s="106" t="s">
        <v>46</v>
      </c>
      <c r="F27" s="84"/>
      <c r="G27" s="51">
        <v>0</v>
      </c>
      <c r="H27" s="29" t="str">
        <f>DEC2HEX(G27,6)</f>
        <v>000000</v>
      </c>
      <c r="I27" s="96" t="str">
        <f>H27&amp;H28&amp;H29&amp;H30&amp;H31&amp;H32&amp;H33&amp;H34&amp;H35&amp;H36&amp;H37&amp;H38&amp;H39&amp;H40&amp;H41&amp;H42&amp;H43&amp;H44&amp;H45</f>
        <v>000000030000012C00000000015E00C8032001900000000000000000000000000000000001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  <c r="U27" s="96"/>
      <c r="V27" s="96"/>
      <c r="W27" s="97"/>
    </row>
    <row r="28" spans="2:24" x14ac:dyDescent="0.3">
      <c r="B28" s="93" t="s">
        <v>60</v>
      </c>
      <c r="C28" s="84"/>
      <c r="D28" s="84"/>
      <c r="E28" s="106" t="s">
        <v>45</v>
      </c>
      <c r="F28" s="84"/>
      <c r="G28" s="29">
        <v>3</v>
      </c>
      <c r="H28" s="29" t="str">
        <f>DEC2HEX(G28,2)</f>
        <v>03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6"/>
      <c r="V28" s="96"/>
      <c r="W28" s="97"/>
    </row>
    <row r="29" spans="2:24" x14ac:dyDescent="0.3">
      <c r="B29" s="93" t="s">
        <v>41</v>
      </c>
      <c r="C29" s="84"/>
      <c r="D29" s="84"/>
      <c r="E29" s="106" t="s">
        <v>46</v>
      </c>
      <c r="F29" s="84"/>
      <c r="G29" s="29">
        <v>0</v>
      </c>
      <c r="H29" s="29" t="str">
        <f>DEC2HEX(G29,4)</f>
        <v>0000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5"/>
    </row>
    <row r="30" spans="2:24" x14ac:dyDescent="0.3">
      <c r="B30" s="93" t="s">
        <v>61</v>
      </c>
      <c r="C30" s="84"/>
      <c r="D30" s="84"/>
      <c r="E30" s="106" t="s">
        <v>44</v>
      </c>
      <c r="F30" s="84"/>
      <c r="G30" s="42">
        <v>5</v>
      </c>
      <c r="H30" s="29" t="str">
        <f>DEC2HEX(G30*60,4)</f>
        <v>012C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2:24" x14ac:dyDescent="0.3">
      <c r="B31" s="93" t="s">
        <v>41</v>
      </c>
      <c r="C31" s="84"/>
      <c r="D31" s="84"/>
      <c r="E31" s="106" t="s">
        <v>46</v>
      </c>
      <c r="F31" s="84"/>
      <c r="G31" s="73">
        <v>0</v>
      </c>
      <c r="H31" s="29" t="str">
        <f t="shared" ref="H31:H44" si="2">DEC2HEX(G31,4)</f>
        <v>0000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2:24" x14ac:dyDescent="0.3">
      <c r="B32" s="93" t="s">
        <v>41</v>
      </c>
      <c r="C32" s="84"/>
      <c r="D32" s="84"/>
      <c r="E32" s="106" t="s">
        <v>46</v>
      </c>
      <c r="F32" s="84"/>
      <c r="G32" s="73">
        <v>0</v>
      </c>
      <c r="H32" s="29" t="str">
        <f>DEC2HEX(G32*3600,4)</f>
        <v>0000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48</v>
      </c>
      <c r="C33" s="84"/>
      <c r="D33" s="84"/>
      <c r="E33" s="106" t="s">
        <v>64</v>
      </c>
      <c r="F33" s="84"/>
      <c r="G33" s="43">
        <v>35</v>
      </c>
      <c r="H33" s="72" t="str">
        <f>IF(G33&lt;0,DEC2HEX(65536+(G33*10),4),DEC2HEX(G33*10,4))</f>
        <v>015E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49</v>
      </c>
      <c r="C34" s="84"/>
      <c r="D34" s="84"/>
      <c r="E34" s="106" t="s">
        <v>65</v>
      </c>
      <c r="F34" s="84"/>
      <c r="G34" s="43">
        <v>20</v>
      </c>
      <c r="H34" s="72" t="str">
        <f>IF(G34&lt;0,DEC2HEX(65536+(G34*10),4),DEC2HEX(G34*10,4))</f>
        <v>00C8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3" t="s">
        <v>50</v>
      </c>
      <c r="C35" s="84"/>
      <c r="D35" s="84"/>
      <c r="E35" s="106" t="s">
        <v>66</v>
      </c>
      <c r="F35" s="84"/>
      <c r="G35" s="43">
        <v>80</v>
      </c>
      <c r="H35" s="29" t="str">
        <f>DEC2HEX(G35*10,4)</f>
        <v>0320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5" t="s">
        <v>51</v>
      </c>
      <c r="C36" s="84"/>
      <c r="D36" s="84"/>
      <c r="E36" s="107" t="s">
        <v>67</v>
      </c>
      <c r="F36" s="84"/>
      <c r="G36" s="43">
        <v>40</v>
      </c>
      <c r="H36" s="29" t="str">
        <f>DEC2HEX(G36*10,4)</f>
        <v>0190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4" t="s">
        <v>52</v>
      </c>
      <c r="C37" s="84"/>
      <c r="D37" s="84"/>
      <c r="E37" s="106" t="s">
        <v>46</v>
      </c>
      <c r="F37" s="84"/>
      <c r="G37" s="29">
        <v>0</v>
      </c>
      <c r="H37" s="29" t="str">
        <f t="shared" si="2"/>
        <v>0000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4" t="s">
        <v>53</v>
      </c>
      <c r="C38" s="84"/>
      <c r="D38" s="84"/>
      <c r="E38" s="106" t="s">
        <v>46</v>
      </c>
      <c r="F38" s="84"/>
      <c r="G38" s="29">
        <v>0</v>
      </c>
      <c r="H38" s="29" t="str">
        <f t="shared" si="2"/>
        <v>0000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54</v>
      </c>
      <c r="C39" s="84"/>
      <c r="D39" s="84"/>
      <c r="E39" s="106" t="s">
        <v>46</v>
      </c>
      <c r="F39" s="84"/>
      <c r="G39" s="29">
        <v>0</v>
      </c>
      <c r="H39" s="29" t="str">
        <f t="shared" si="2"/>
        <v>0000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55</v>
      </c>
      <c r="C40" s="84"/>
      <c r="D40" s="84"/>
      <c r="E40" s="106" t="s">
        <v>46</v>
      </c>
      <c r="F40" s="84"/>
      <c r="G40" s="29">
        <v>0</v>
      </c>
      <c r="H40" s="29" t="str">
        <f t="shared" si="2"/>
        <v>0000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56</v>
      </c>
      <c r="C41" s="84"/>
      <c r="D41" s="84"/>
      <c r="E41" s="106" t="s">
        <v>46</v>
      </c>
      <c r="F41" s="84"/>
      <c r="G41" s="29">
        <v>0</v>
      </c>
      <c r="H41" s="29" t="str">
        <f t="shared" si="2"/>
        <v>0000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57</v>
      </c>
      <c r="C42" s="84"/>
      <c r="D42" s="84"/>
      <c r="E42" s="106" t="s">
        <v>46</v>
      </c>
      <c r="F42" s="84"/>
      <c r="G42" s="29">
        <v>0</v>
      </c>
      <c r="H42" s="29" t="str">
        <f t="shared" si="2"/>
        <v>0000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58</v>
      </c>
      <c r="C43" s="84"/>
      <c r="D43" s="84"/>
      <c r="E43" s="106" t="s">
        <v>46</v>
      </c>
      <c r="F43" s="84"/>
      <c r="G43" s="29">
        <v>0</v>
      </c>
      <c r="H43" s="29" t="str">
        <f t="shared" si="2"/>
        <v>0000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59</v>
      </c>
      <c r="C44" s="84"/>
      <c r="D44" s="84"/>
      <c r="E44" s="106" t="s">
        <v>46</v>
      </c>
      <c r="F44" s="84"/>
      <c r="G44" s="29">
        <v>0</v>
      </c>
      <c r="H44" s="29" t="str">
        <f t="shared" si="2"/>
        <v>0000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x14ac:dyDescent="0.3">
      <c r="B45" s="94" t="s">
        <v>41</v>
      </c>
      <c r="C45" s="84"/>
      <c r="D45" s="84"/>
      <c r="E45" s="106" t="s">
        <v>47</v>
      </c>
      <c r="F45" s="84"/>
      <c r="G45" s="29">
        <v>1</v>
      </c>
      <c r="H45" s="29" t="str">
        <f>DEC2HEX(G45,2)</f>
        <v>01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</row>
    <row r="46" spans="2:23" ht="15" thickBot="1" x14ac:dyDescent="0.35">
      <c r="B46" s="35"/>
      <c r="C46" s="36"/>
      <c r="D46" s="36"/>
      <c r="E46" s="37"/>
      <c r="F46" s="38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9"/>
    </row>
    <row r="47" spans="2:23" ht="15" thickTop="1" x14ac:dyDescent="0.3"/>
  </sheetData>
  <mergeCells count="49">
    <mergeCell ref="B44:D44"/>
    <mergeCell ref="E44:F44"/>
    <mergeCell ref="B45:D45"/>
    <mergeCell ref="E45:F45"/>
    <mergeCell ref="B24:W24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2:D32"/>
    <mergeCell ref="E32:F32"/>
    <mergeCell ref="B33:D33"/>
    <mergeCell ref="E33:F33"/>
    <mergeCell ref="B34:D34"/>
    <mergeCell ref="E34:F34"/>
    <mergeCell ref="B29:D29"/>
    <mergeCell ref="E29:F29"/>
    <mergeCell ref="B30:D30"/>
    <mergeCell ref="E30:F30"/>
    <mergeCell ref="B31:D31"/>
    <mergeCell ref="E31:F31"/>
    <mergeCell ref="B26:D26"/>
    <mergeCell ref="E26:F26"/>
    <mergeCell ref="I26:W26"/>
    <mergeCell ref="B27:D27"/>
    <mergeCell ref="E27:F27"/>
    <mergeCell ref="I27:W28"/>
    <mergeCell ref="B28:D28"/>
    <mergeCell ref="E28:F28"/>
    <mergeCell ref="B2:E2"/>
    <mergeCell ref="B3:F3"/>
    <mergeCell ref="B25:D25"/>
    <mergeCell ref="E25:G25"/>
    <mergeCell ref="I25:W25"/>
    <mergeCell ref="U14:V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4D2B6-79B0-DF47-A641-DCF346429BE2}">
  <dimension ref="A1:X47"/>
  <sheetViews>
    <sheetView topLeftCell="A16" workbookViewId="0">
      <selection activeCell="Y34" sqref="Y34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4.33203125" style="2" customWidth="1"/>
    <col min="5" max="5" width="13" style="1" customWidth="1"/>
    <col min="6" max="6" width="26.33203125" style="3" customWidth="1"/>
    <col min="7" max="7" width="10.44140625" style="2" customWidth="1"/>
    <col min="8" max="8" width="9.6640625" style="2" customWidth="1"/>
    <col min="9" max="22" width="7.77734375" style="2" customWidth="1"/>
    <col min="23" max="16384" width="10.77734375" style="2"/>
  </cols>
  <sheetData>
    <row r="1" spans="1:24" ht="15" thickBot="1" x14ac:dyDescent="0.35"/>
    <row r="2" spans="1:24" ht="18.600000000000001" thickTop="1" x14ac:dyDescent="0.35">
      <c r="B2" s="109" t="s">
        <v>39</v>
      </c>
      <c r="C2" s="110"/>
      <c r="D2" s="110"/>
      <c r="E2" s="110"/>
      <c r="F2" s="4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A3" s="4"/>
      <c r="B3" s="111" t="s">
        <v>36</v>
      </c>
      <c r="C3" s="112"/>
      <c r="D3" s="112"/>
      <c r="E3" s="112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x14ac:dyDescent="0.3">
      <c r="A4" s="4"/>
      <c r="B4" s="16"/>
      <c r="C4" s="14"/>
      <c r="D4" s="14"/>
      <c r="E4" s="17"/>
      <c r="F4" s="1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B5" s="19" t="s">
        <v>3</v>
      </c>
      <c r="C5" s="20" t="s">
        <v>2</v>
      </c>
      <c r="D5" s="21" t="s">
        <v>1</v>
      </c>
      <c r="E5" s="22" t="s">
        <v>40</v>
      </c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A6" s="4"/>
      <c r="B6" s="23">
        <v>1</v>
      </c>
      <c r="C6" s="24">
        <v>6</v>
      </c>
      <c r="D6" s="17" t="str">
        <f t="shared" ref="D6:D13" si="0">MID($B$3,B6,C6)</f>
        <v>0000DC</v>
      </c>
      <c r="E6" s="25">
        <f>HEX2DEC(D6)</f>
        <v>220</v>
      </c>
      <c r="F6" s="18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f t="shared" ref="B7:B13" si="1">B6+C6</f>
        <v>7</v>
      </c>
      <c r="C7" s="24">
        <v>2</v>
      </c>
      <c r="D7" s="17" t="str">
        <f t="shared" si="0"/>
        <v>0F</v>
      </c>
      <c r="E7" s="25">
        <f>HEX2DEC(D7)</f>
        <v>15</v>
      </c>
      <c r="F7" s="18" t="s">
        <v>26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si="1"/>
        <v>9</v>
      </c>
      <c r="C8" s="24">
        <v>2</v>
      </c>
      <c r="D8" s="17" t="str">
        <f t="shared" si="0"/>
        <v>0A</v>
      </c>
      <c r="E8" s="25">
        <f>HEX2DEC(D8)</f>
        <v>10</v>
      </c>
      <c r="F8" s="18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1"/>
        <v>11</v>
      </c>
      <c r="C9" s="24">
        <v>2</v>
      </c>
      <c r="D9" s="17" t="str">
        <f t="shared" si="0"/>
        <v>01</v>
      </c>
      <c r="E9" s="26" t="str">
        <f>HEX2BIN(D9,8)</f>
        <v>00000001</v>
      </c>
      <c r="F9" s="27" t="s">
        <v>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1"/>
        <v>13</v>
      </c>
      <c r="C10" s="24">
        <v>4</v>
      </c>
      <c r="D10" s="17" t="str">
        <f t="shared" si="0"/>
        <v>00D0</v>
      </c>
      <c r="E10" s="7">
        <f>IF(LEFT(D10,1)&gt;="A",(HEX2DEC(D10)-65536)/10,HEX2DEC(D10)/10)</f>
        <v>20.8</v>
      </c>
      <c r="F10" s="18" t="s">
        <v>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1"/>
        <v>17</v>
      </c>
      <c r="C11" s="24">
        <v>4</v>
      </c>
      <c r="D11" s="17" t="str">
        <f t="shared" si="0"/>
        <v>0000</v>
      </c>
      <c r="E11" s="7">
        <f>IF(LEFT(D11,1)&gt;="A",(HEX2DEC(D11)-65536)/10,HEX2DEC(D11)/10)</f>
        <v>0</v>
      </c>
      <c r="F11" s="18" t="s">
        <v>14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3">
      <c r="A12" s="4"/>
      <c r="B12" s="23">
        <f t="shared" si="1"/>
        <v>21</v>
      </c>
      <c r="C12" s="24">
        <v>4</v>
      </c>
      <c r="D12" s="17" t="str">
        <f t="shared" si="0"/>
        <v>0000</v>
      </c>
      <c r="E12" s="25">
        <f>HEX2DEC(D12)</f>
        <v>0</v>
      </c>
      <c r="F12" s="18" t="s">
        <v>10</v>
      </c>
      <c r="G12" s="29" t="str">
        <f>HEX2BIN(MID(D12,1,2),8)</f>
        <v>00000000</v>
      </c>
      <c r="H12" s="29" t="str">
        <f>HEX2BIN(MID(D12,3,2),8)</f>
        <v>00000000</v>
      </c>
      <c r="I12" s="51">
        <f>IF((MID($G12,1,1)="0"),0,1)</f>
        <v>0</v>
      </c>
      <c r="J12" s="51">
        <f>IF((MID($G12,2,1)="0"),0,1)</f>
        <v>0</v>
      </c>
      <c r="K12" s="51">
        <f>IF((MID($G12,3,1)="0"),0,1)</f>
        <v>0</v>
      </c>
      <c r="L12" s="51">
        <f>IF((MID($G12,4,1)="0"),0,1)</f>
        <v>0</v>
      </c>
      <c r="M12" s="51">
        <f>IF((MID($G12,5,1)="0"),0,1)</f>
        <v>0</v>
      </c>
      <c r="N12" s="51">
        <f>IF((MID($G12,6,1)="0"),0,1)</f>
        <v>0</v>
      </c>
      <c r="O12" s="51">
        <f>IF((MID($G12,7,1)="0"),0,1)</f>
        <v>0</v>
      </c>
      <c r="P12" s="51">
        <f>IF((MID($G12,8,1)="0"),0,1)</f>
        <v>0</v>
      </c>
      <c r="Q12" s="51">
        <f>IF((MID($H12,1,1)="0"),0,1)</f>
        <v>0</v>
      </c>
      <c r="R12" s="51">
        <f>IF((MID($H12,2,1)="0"),0,1)</f>
        <v>0</v>
      </c>
      <c r="S12" s="51">
        <f>IF((MID($H12,3,1)="0"),0,1)</f>
        <v>0</v>
      </c>
      <c r="T12" s="51">
        <f>IF((MID($H12,4,1)="0"),0,1)</f>
        <v>0</v>
      </c>
      <c r="U12" s="51">
        <f>IF((MID($H12,5,1)="0"),0,1)</f>
        <v>0</v>
      </c>
      <c r="V12" s="51">
        <f>IF((MID($H12,6,1)="0"),0,1)</f>
        <v>0</v>
      </c>
      <c r="W12" s="32" t="str">
        <f>IF((MID($H12,7,1)="0"),"Temp Lo OK","Temp Lo Alm")</f>
        <v>Temp Lo OK</v>
      </c>
      <c r="X12" s="45" t="str">
        <f>IF((MID($H12,8,1)="0"),"Temp Hi OK","Temp Hi Alm")</f>
        <v>Temp Hi OK</v>
      </c>
    </row>
    <row r="13" spans="1:24" x14ac:dyDescent="0.3">
      <c r="A13" s="4"/>
      <c r="B13" s="23">
        <f t="shared" si="1"/>
        <v>25</v>
      </c>
      <c r="C13" s="24">
        <v>4</v>
      </c>
      <c r="D13" s="17" t="str">
        <f t="shared" si="0"/>
        <v>0000</v>
      </c>
      <c r="E13" s="25">
        <f>HEX2DEC(D13)</f>
        <v>0</v>
      </c>
      <c r="F13" s="33" t="s">
        <v>0</v>
      </c>
      <c r="G13" s="29" t="str">
        <f>HEX2BIN(MID(D13,1,2),8)</f>
        <v>00000000</v>
      </c>
      <c r="H13" s="29" t="str">
        <f>HEX2BIN(MID(D13,3,2),8)</f>
        <v>00000000</v>
      </c>
      <c r="I13" s="51">
        <f>IF((MID($G13,1,1)="0"),0,1)</f>
        <v>0</v>
      </c>
      <c r="J13" s="51">
        <f>IF((MID($G13,2,1)="0"),0,1)</f>
        <v>0</v>
      </c>
      <c r="K13" s="51">
        <f>IF((MID($G13,3,1)="0"),0,1)</f>
        <v>0</v>
      </c>
      <c r="L13" s="51">
        <f>IF((MID($G13,4,1)="0"),0,1)</f>
        <v>0</v>
      </c>
      <c r="M13" s="51">
        <f>IF((MID($G13,5,1)="0"),0,1)</f>
        <v>0</v>
      </c>
      <c r="N13" s="51">
        <f>IF((MID($G13,6,1)="0"),0,1)</f>
        <v>0</v>
      </c>
      <c r="O13" s="51">
        <f>IF((MID($G13,7,1)="0"),0,1)</f>
        <v>0</v>
      </c>
      <c r="P13" s="51">
        <f>IF((MID($G13,8,1)="0"),0,1)</f>
        <v>0</v>
      </c>
      <c r="Q13" s="51">
        <f>IF((MID($H13,1,1)="0"),0,1)</f>
        <v>0</v>
      </c>
      <c r="R13" s="51">
        <f>IF((MID($H13,2,1)="0"),0,1)</f>
        <v>0</v>
      </c>
      <c r="S13" s="51">
        <f>IF((MID($H13,3,1)="0"),0,1)</f>
        <v>0</v>
      </c>
      <c r="T13" s="51">
        <f>IF((MID($H13,4,1)="0"),0,1)</f>
        <v>0</v>
      </c>
      <c r="U13" s="5">
        <f>IF((MID($H13,5,1)="0"),0,1)</f>
        <v>0</v>
      </c>
      <c r="V13" s="6">
        <f>IF((MID($H13,6,1)="0"),0,1)</f>
        <v>0</v>
      </c>
      <c r="W13" s="32">
        <f>IF((MID($H13,7,1)="0"),0,1)</f>
        <v>0</v>
      </c>
      <c r="X13" s="45" t="str">
        <f>IF((MID($H13,8,1)="0"),"Normal","Alarm")</f>
        <v>Normal</v>
      </c>
    </row>
    <row r="14" spans="1:24" ht="15" customHeight="1" x14ac:dyDescent="0.3">
      <c r="A14" s="4"/>
      <c r="B14" s="23"/>
      <c r="C14" s="24"/>
      <c r="D14" s="17"/>
      <c r="E14" s="28"/>
      <c r="F14" s="1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8" t="s">
        <v>155</v>
      </c>
      <c r="V14" s="89"/>
      <c r="W14" s="67"/>
      <c r="X14" s="68"/>
    </row>
    <row r="15" spans="1:24" x14ac:dyDescent="0.3">
      <c r="B15" s="34"/>
      <c r="C15" s="14"/>
      <c r="D15" s="14"/>
      <c r="E15" s="28"/>
      <c r="F15" s="1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90"/>
      <c r="V15" s="89"/>
      <c r="W15" s="67"/>
      <c r="X15" s="68"/>
    </row>
    <row r="16" spans="1:24" x14ac:dyDescent="0.3">
      <c r="B16" s="34"/>
      <c r="C16" s="14"/>
      <c r="D16" s="14"/>
      <c r="E16" s="28"/>
      <c r="F16" s="1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90"/>
      <c r="V16" s="89"/>
      <c r="W16" s="67"/>
      <c r="X16" s="68"/>
    </row>
    <row r="17" spans="2:24" x14ac:dyDescent="0.3">
      <c r="B17" s="34"/>
      <c r="C17" s="14"/>
      <c r="D17" s="14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0"/>
      <c r="V17" s="89"/>
      <c r="W17" s="67"/>
      <c r="X17" s="68"/>
    </row>
    <row r="18" spans="2:24" x14ac:dyDescent="0.3">
      <c r="B18" s="34"/>
      <c r="C18" s="14"/>
      <c r="D18" s="14"/>
      <c r="E18" s="17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0"/>
      <c r="V18" s="89"/>
      <c r="W18" s="67"/>
      <c r="X18" s="68"/>
    </row>
    <row r="19" spans="2:24" x14ac:dyDescent="0.3">
      <c r="B19" s="34"/>
      <c r="C19" s="14"/>
      <c r="D19" s="14"/>
      <c r="E19" s="17"/>
      <c r="F19" s="1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91"/>
      <c r="V19" s="92"/>
      <c r="W19" s="67"/>
      <c r="X19" s="68"/>
    </row>
    <row r="20" spans="2:24" ht="15" thickBot="1" x14ac:dyDescent="0.35">
      <c r="B20" s="35"/>
      <c r="C20" s="36"/>
      <c r="D20" s="36"/>
      <c r="E20" s="37"/>
      <c r="F20" s="38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9"/>
    </row>
    <row r="21" spans="2:24" ht="15" thickTop="1" x14ac:dyDescent="0.3"/>
    <row r="23" spans="2:24" ht="15" thickBot="1" x14ac:dyDescent="0.35"/>
    <row r="24" spans="2:24" ht="27" thickTop="1" thickBot="1" x14ac:dyDescent="0.55000000000000004">
      <c r="B24" s="85" t="s">
        <v>92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7"/>
    </row>
    <row r="25" spans="2:24" ht="43.05" customHeight="1" thickTop="1" x14ac:dyDescent="0.35">
      <c r="B25" s="81" t="s">
        <v>93</v>
      </c>
      <c r="C25" s="82"/>
      <c r="D25" s="82"/>
      <c r="E25" s="103" t="s">
        <v>62</v>
      </c>
      <c r="F25" s="104"/>
      <c r="G25" s="105"/>
      <c r="H25" s="41" t="s">
        <v>42</v>
      </c>
      <c r="I25" s="98" t="s">
        <v>43</v>
      </c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99"/>
      <c r="V25" s="99"/>
      <c r="W25" s="100"/>
    </row>
    <row r="26" spans="2:24" x14ac:dyDescent="0.3">
      <c r="B26" s="83"/>
      <c r="C26" s="84"/>
      <c r="D26" s="84"/>
      <c r="E26" s="108"/>
      <c r="F26" s="84"/>
      <c r="G26" s="40"/>
      <c r="H26" s="40"/>
      <c r="I26" s="101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102"/>
    </row>
    <row r="27" spans="2:24" x14ac:dyDescent="0.3">
      <c r="B27" s="93" t="s">
        <v>41</v>
      </c>
      <c r="C27" s="84"/>
      <c r="D27" s="84"/>
      <c r="E27" s="106" t="s">
        <v>46</v>
      </c>
      <c r="F27" s="84"/>
      <c r="G27" s="51">
        <v>0</v>
      </c>
      <c r="H27" s="29" t="str">
        <f>DEC2HEX(G27,6)</f>
        <v>000000</v>
      </c>
      <c r="I27" s="96" t="str">
        <f>H27&amp;H28&amp;H29&amp;H30&amp;H31&amp;H32&amp;H33&amp;H34&amp;H35&amp;H36&amp;H37&amp;H38&amp;H39&amp;H40&amp;H41&amp;H42&amp;H43&amp;H44&amp;H45</f>
        <v>000000030000012C00000000015E00C8000000000000000000000000000000000000000001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  <c r="U27" s="96"/>
      <c r="V27" s="96"/>
      <c r="W27" s="97"/>
    </row>
    <row r="28" spans="2:24" x14ac:dyDescent="0.3">
      <c r="B28" s="93" t="s">
        <v>60</v>
      </c>
      <c r="C28" s="84"/>
      <c r="D28" s="84"/>
      <c r="E28" s="106" t="s">
        <v>45</v>
      </c>
      <c r="F28" s="84"/>
      <c r="G28" s="29">
        <v>3</v>
      </c>
      <c r="H28" s="29" t="str">
        <f>DEC2HEX(G28,2)</f>
        <v>03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6"/>
      <c r="V28" s="96"/>
      <c r="W28" s="97"/>
    </row>
    <row r="29" spans="2:24" x14ac:dyDescent="0.3">
      <c r="B29" s="93" t="s">
        <v>41</v>
      </c>
      <c r="C29" s="84"/>
      <c r="D29" s="84"/>
      <c r="E29" s="106" t="s">
        <v>46</v>
      </c>
      <c r="F29" s="84"/>
      <c r="G29" s="29">
        <v>0</v>
      </c>
      <c r="H29" s="29" t="str">
        <f>DEC2HEX(G29,4)</f>
        <v>0000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5"/>
    </row>
    <row r="30" spans="2:24" x14ac:dyDescent="0.3">
      <c r="B30" s="93" t="s">
        <v>61</v>
      </c>
      <c r="C30" s="84"/>
      <c r="D30" s="84"/>
      <c r="E30" s="106" t="s">
        <v>44</v>
      </c>
      <c r="F30" s="84"/>
      <c r="G30" s="42">
        <v>5</v>
      </c>
      <c r="H30" s="29" t="str">
        <f>DEC2HEX(G30*60,4)</f>
        <v>012C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2:24" x14ac:dyDescent="0.3">
      <c r="B31" s="93" t="s">
        <v>41</v>
      </c>
      <c r="C31" s="84"/>
      <c r="D31" s="84"/>
      <c r="E31" s="106" t="s">
        <v>46</v>
      </c>
      <c r="F31" s="84"/>
      <c r="G31" s="73">
        <v>0</v>
      </c>
      <c r="H31" s="29" t="str">
        <f t="shared" ref="H31:H44" si="2">DEC2HEX(G31,4)</f>
        <v>0000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2:24" x14ac:dyDescent="0.3">
      <c r="B32" s="93" t="s">
        <v>41</v>
      </c>
      <c r="C32" s="84"/>
      <c r="D32" s="84"/>
      <c r="E32" s="106" t="s">
        <v>46</v>
      </c>
      <c r="F32" s="84"/>
      <c r="G32" s="73">
        <v>0</v>
      </c>
      <c r="H32" s="29" t="str">
        <f>DEC2HEX(G32*3600,4)</f>
        <v>0000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48</v>
      </c>
      <c r="C33" s="84"/>
      <c r="D33" s="84"/>
      <c r="E33" s="106" t="s">
        <v>64</v>
      </c>
      <c r="F33" s="84"/>
      <c r="G33" s="43">
        <v>35</v>
      </c>
      <c r="H33" s="72" t="str">
        <f>IF(G33&lt;0,DEC2HEX(65536+(G33*10),4),DEC2HEX(G33*10,4))</f>
        <v>015E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49</v>
      </c>
      <c r="C34" s="84"/>
      <c r="D34" s="84"/>
      <c r="E34" s="106" t="s">
        <v>65</v>
      </c>
      <c r="F34" s="84"/>
      <c r="G34" s="43">
        <v>20</v>
      </c>
      <c r="H34" s="72" t="str">
        <f>IF(G34&lt;0,DEC2HEX(65536+(G34*10),4),DEC2HEX(G34*10,4))</f>
        <v>00C8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3" t="s">
        <v>50</v>
      </c>
      <c r="C35" s="84"/>
      <c r="D35" s="84"/>
      <c r="E35" s="106" t="s">
        <v>46</v>
      </c>
      <c r="F35" s="84"/>
      <c r="G35" s="29">
        <v>0</v>
      </c>
      <c r="H35" s="29" t="str">
        <f>DEC2HEX(G35*10,4)</f>
        <v>0000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5" t="s">
        <v>51</v>
      </c>
      <c r="C36" s="84"/>
      <c r="D36" s="84"/>
      <c r="E36" s="106" t="s">
        <v>46</v>
      </c>
      <c r="F36" s="84"/>
      <c r="G36" s="29">
        <v>0</v>
      </c>
      <c r="H36" s="29" t="str">
        <f>DEC2HEX(G36*10,4)</f>
        <v>0000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4" t="s">
        <v>52</v>
      </c>
      <c r="C37" s="84"/>
      <c r="D37" s="84"/>
      <c r="E37" s="106" t="s">
        <v>46</v>
      </c>
      <c r="F37" s="84"/>
      <c r="G37" s="29">
        <v>0</v>
      </c>
      <c r="H37" s="29" t="str">
        <f t="shared" si="2"/>
        <v>0000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4" t="s">
        <v>53</v>
      </c>
      <c r="C38" s="84"/>
      <c r="D38" s="84"/>
      <c r="E38" s="106" t="s">
        <v>46</v>
      </c>
      <c r="F38" s="84"/>
      <c r="G38" s="29">
        <v>0</v>
      </c>
      <c r="H38" s="29" t="str">
        <f t="shared" si="2"/>
        <v>0000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54</v>
      </c>
      <c r="C39" s="84"/>
      <c r="D39" s="84"/>
      <c r="E39" s="106" t="s">
        <v>46</v>
      </c>
      <c r="F39" s="84"/>
      <c r="G39" s="29">
        <v>0</v>
      </c>
      <c r="H39" s="29" t="str">
        <f t="shared" si="2"/>
        <v>0000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55</v>
      </c>
      <c r="C40" s="84"/>
      <c r="D40" s="84"/>
      <c r="E40" s="106" t="s">
        <v>46</v>
      </c>
      <c r="F40" s="84"/>
      <c r="G40" s="29">
        <v>0</v>
      </c>
      <c r="H40" s="29" t="str">
        <f t="shared" si="2"/>
        <v>0000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56</v>
      </c>
      <c r="C41" s="84"/>
      <c r="D41" s="84"/>
      <c r="E41" s="106" t="s">
        <v>46</v>
      </c>
      <c r="F41" s="84"/>
      <c r="G41" s="29">
        <v>0</v>
      </c>
      <c r="H41" s="29" t="str">
        <f t="shared" si="2"/>
        <v>0000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57</v>
      </c>
      <c r="C42" s="84"/>
      <c r="D42" s="84"/>
      <c r="E42" s="106" t="s">
        <v>46</v>
      </c>
      <c r="F42" s="84"/>
      <c r="G42" s="29">
        <v>0</v>
      </c>
      <c r="H42" s="29" t="str">
        <f t="shared" si="2"/>
        <v>0000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58</v>
      </c>
      <c r="C43" s="84"/>
      <c r="D43" s="84"/>
      <c r="E43" s="106" t="s">
        <v>46</v>
      </c>
      <c r="F43" s="84"/>
      <c r="G43" s="29">
        <v>0</v>
      </c>
      <c r="H43" s="29" t="str">
        <f t="shared" si="2"/>
        <v>0000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59</v>
      </c>
      <c r="C44" s="84"/>
      <c r="D44" s="84"/>
      <c r="E44" s="106" t="s">
        <v>46</v>
      </c>
      <c r="F44" s="84"/>
      <c r="G44" s="29">
        <v>0</v>
      </c>
      <c r="H44" s="29" t="str">
        <f t="shared" si="2"/>
        <v>0000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x14ac:dyDescent="0.3">
      <c r="B45" s="94" t="s">
        <v>41</v>
      </c>
      <c r="C45" s="84"/>
      <c r="D45" s="84"/>
      <c r="E45" s="106" t="s">
        <v>47</v>
      </c>
      <c r="F45" s="84"/>
      <c r="G45" s="29">
        <v>1</v>
      </c>
      <c r="H45" s="29" t="str">
        <f>DEC2HEX(G45,2)</f>
        <v>01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</row>
    <row r="46" spans="2:23" ht="15" thickBot="1" x14ac:dyDescent="0.35">
      <c r="B46" s="35"/>
      <c r="C46" s="36"/>
      <c r="D46" s="36"/>
      <c r="E46" s="37"/>
      <c r="F46" s="38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9"/>
    </row>
    <row r="47" spans="2:23" ht="15" thickTop="1" x14ac:dyDescent="0.3"/>
  </sheetData>
  <mergeCells count="49">
    <mergeCell ref="B44:D44"/>
    <mergeCell ref="E44:F44"/>
    <mergeCell ref="B45:D45"/>
    <mergeCell ref="E45:F45"/>
    <mergeCell ref="B24:W24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2:D32"/>
    <mergeCell ref="E32:F32"/>
    <mergeCell ref="B33:D33"/>
    <mergeCell ref="E33:F33"/>
    <mergeCell ref="B34:D34"/>
    <mergeCell ref="E34:F34"/>
    <mergeCell ref="B29:D29"/>
    <mergeCell ref="E29:F29"/>
    <mergeCell ref="B30:D30"/>
    <mergeCell ref="E30:F30"/>
    <mergeCell ref="B31:D31"/>
    <mergeCell ref="E31:F31"/>
    <mergeCell ref="B26:D26"/>
    <mergeCell ref="E26:F26"/>
    <mergeCell ref="I26:W26"/>
    <mergeCell ref="B27:D27"/>
    <mergeCell ref="E27:F27"/>
    <mergeCell ref="I27:W28"/>
    <mergeCell ref="B28:D28"/>
    <mergeCell ref="E28:F28"/>
    <mergeCell ref="B2:E2"/>
    <mergeCell ref="B3:F3"/>
    <mergeCell ref="B25:D25"/>
    <mergeCell ref="E25:G25"/>
    <mergeCell ref="I25:W25"/>
    <mergeCell ref="U14:V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8842-C79A-3D4A-87E5-76E50968EF7D}">
  <dimension ref="A1:X48"/>
  <sheetViews>
    <sheetView topLeftCell="A16" workbookViewId="0">
      <selection activeCell="B32" sqref="B32:G32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6.33203125" style="2" customWidth="1"/>
    <col min="5" max="5" width="13" style="1" customWidth="1"/>
    <col min="6" max="6" width="26.33203125" style="3" customWidth="1"/>
    <col min="7" max="8" width="12.77734375" style="2" customWidth="1"/>
    <col min="9" max="16" width="7.77734375" style="2" customWidth="1"/>
    <col min="17" max="17" width="11.44140625" style="2" customWidth="1"/>
    <col min="18" max="19" width="12.77734375" style="2" customWidth="1"/>
    <col min="20" max="20" width="11.109375" style="2" customWidth="1"/>
    <col min="21" max="21" width="7.77734375" style="2" customWidth="1"/>
    <col min="22" max="22" width="16.44140625" style="2" customWidth="1"/>
    <col min="23" max="23" width="17.109375" style="2" customWidth="1"/>
    <col min="24" max="24" width="16.6640625" style="2" customWidth="1"/>
    <col min="25" max="16384" width="10.77734375" style="2"/>
  </cols>
  <sheetData>
    <row r="1" spans="1:24" ht="15" thickBot="1" x14ac:dyDescent="0.35"/>
    <row r="2" spans="1:24" ht="18.600000000000001" thickTop="1" x14ac:dyDescent="0.35">
      <c r="B2" s="109" t="s">
        <v>39</v>
      </c>
      <c r="C2" s="110"/>
      <c r="D2" s="110"/>
      <c r="E2" s="110"/>
      <c r="F2" s="4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A3" s="4"/>
      <c r="B3" s="111" t="s">
        <v>32</v>
      </c>
      <c r="C3" s="112"/>
      <c r="D3" s="112"/>
      <c r="E3" s="112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x14ac:dyDescent="0.3">
      <c r="A4" s="4"/>
      <c r="B4" s="16"/>
      <c r="C4" s="14"/>
      <c r="D4" s="14"/>
      <c r="E4" s="17"/>
      <c r="F4" s="1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B5" s="19" t="s">
        <v>3</v>
      </c>
      <c r="C5" s="20" t="s">
        <v>2</v>
      </c>
      <c r="D5" s="21" t="s">
        <v>1</v>
      </c>
      <c r="E5" s="22" t="s">
        <v>40</v>
      </c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A6" s="4"/>
      <c r="B6" s="23">
        <v>1</v>
      </c>
      <c r="C6" s="24">
        <v>6</v>
      </c>
      <c r="D6" s="17" t="str">
        <f t="shared" ref="D6:D14" si="0">MID($B$3,B6,C6)</f>
        <v>0000B4</v>
      </c>
      <c r="E6" s="25">
        <f t="shared" ref="E6:E14" si="1">HEX2DEC(D6)</f>
        <v>180</v>
      </c>
      <c r="F6" s="18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f t="shared" ref="B7:B14" si="2">B6+C6</f>
        <v>7</v>
      </c>
      <c r="C7" s="24">
        <v>2</v>
      </c>
      <c r="D7" s="17" t="str">
        <f t="shared" si="0"/>
        <v>0B</v>
      </c>
      <c r="E7" s="25">
        <f t="shared" si="1"/>
        <v>11</v>
      </c>
      <c r="F7" s="18" t="s">
        <v>21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si="2"/>
        <v>9</v>
      </c>
      <c r="C8" s="24">
        <v>2</v>
      </c>
      <c r="D8" s="17" t="str">
        <f t="shared" si="0"/>
        <v>0E</v>
      </c>
      <c r="E8" s="25">
        <f t="shared" si="1"/>
        <v>14</v>
      </c>
      <c r="F8" s="18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2"/>
        <v>11</v>
      </c>
      <c r="C9" s="24">
        <v>2</v>
      </c>
      <c r="D9" s="17" t="str">
        <f t="shared" si="0"/>
        <v>01</v>
      </c>
      <c r="E9" s="26" t="str">
        <f>HEX2BIN(D9,8)</f>
        <v>00000001</v>
      </c>
      <c r="F9" s="27" t="s">
        <v>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2"/>
        <v>13</v>
      </c>
      <c r="C10" s="24">
        <v>8</v>
      </c>
      <c r="D10" s="17" t="str">
        <f t="shared" si="0"/>
        <v>00000018</v>
      </c>
      <c r="E10" s="25">
        <f t="shared" si="1"/>
        <v>24</v>
      </c>
      <c r="F10" s="18" t="s">
        <v>16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2"/>
        <v>21</v>
      </c>
      <c r="C11" s="24">
        <v>8</v>
      </c>
      <c r="D11" s="17" t="str">
        <f t="shared" si="0"/>
        <v>00000028</v>
      </c>
      <c r="E11" s="25">
        <f t="shared" si="1"/>
        <v>40</v>
      </c>
      <c r="F11" s="18" t="s">
        <v>17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3">
      <c r="A12" s="4"/>
      <c r="B12" s="23">
        <f t="shared" si="2"/>
        <v>29</v>
      </c>
      <c r="C12" s="24">
        <v>8</v>
      </c>
      <c r="D12" s="17" t="str">
        <f t="shared" si="0"/>
        <v>00000056</v>
      </c>
      <c r="E12" s="25">
        <f t="shared" si="1"/>
        <v>86</v>
      </c>
      <c r="F12" s="18" t="s">
        <v>18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</row>
    <row r="13" spans="1:24" x14ac:dyDescent="0.3">
      <c r="A13" s="4"/>
      <c r="B13" s="23">
        <f t="shared" si="2"/>
        <v>37</v>
      </c>
      <c r="C13" s="24">
        <v>4</v>
      </c>
      <c r="D13" s="17" t="str">
        <f t="shared" si="0"/>
        <v>0004</v>
      </c>
      <c r="E13" s="25">
        <f t="shared" si="1"/>
        <v>4</v>
      </c>
      <c r="F13" s="18" t="s">
        <v>10</v>
      </c>
      <c r="G13" s="29" t="str">
        <f>HEX2BIN(MID(D13,1,2),8)</f>
        <v>00000000</v>
      </c>
      <c r="H13" s="29" t="str">
        <f>HEX2BIN(MID(D13,3,2),8)</f>
        <v>00000100</v>
      </c>
      <c r="I13" s="51">
        <f>IF((MID($G13,1,1)="0"),0,1)</f>
        <v>0</v>
      </c>
      <c r="J13" s="51">
        <f>IF((MID($G13,2,1)="0"),0,1)</f>
        <v>0</v>
      </c>
      <c r="K13" s="51">
        <f>IF((MID($G13,3,1)="0"),0,1)</f>
        <v>0</v>
      </c>
      <c r="L13" s="51">
        <f>IF((MID($G13,4,1)="0"),0,1)</f>
        <v>0</v>
      </c>
      <c r="M13" s="51">
        <f>IF((MID($G13,5,1)="0"),0,1)</f>
        <v>0</v>
      </c>
      <c r="N13" s="51">
        <f>IF((MID($G13,6,1)="0"),0,1)</f>
        <v>0</v>
      </c>
      <c r="O13" s="51">
        <f>IF((MID($G13,7,1)="0"),0,1)</f>
        <v>0</v>
      </c>
      <c r="P13" s="51">
        <f>IF((MID($G13,8,1)="0"),0,1)</f>
        <v>0</v>
      </c>
      <c r="Q13" s="51">
        <f>IF((MID($H13,1,1)="0"),0,1)</f>
        <v>0</v>
      </c>
      <c r="R13" s="51">
        <f>IF((MID($H13,2,1)="0"),0,1)</f>
        <v>0</v>
      </c>
      <c r="S13" s="51">
        <f>IF((MID($H13,3,1)="0"),0,1)</f>
        <v>0</v>
      </c>
      <c r="T13" s="51">
        <f>IF((MID($H13,4,1)="0"),0,1)</f>
        <v>0</v>
      </c>
      <c r="U13" s="51">
        <f>IF((MID($H13,5,1)="0"),0,1)</f>
        <v>0</v>
      </c>
      <c r="V13" s="32" t="str">
        <f>IF((MID($H13,6,1)="0"),"OC No Change OK","OC No Change Alm")</f>
        <v>OC No Change Alm</v>
      </c>
      <c r="W13" s="32" t="str">
        <f>IF((MID($H13,7,1)="0"),"Ch2 No Change OK","Ch2 No Change Alm")</f>
        <v>Ch2 No Change OK</v>
      </c>
      <c r="X13" s="45" t="str">
        <f>IF((MID($H13,8,1)="0"),"Ch1 No Change OK","Ch1 No Change Alm")</f>
        <v>Ch1 No Change OK</v>
      </c>
    </row>
    <row r="14" spans="1:24" x14ac:dyDescent="0.3">
      <c r="A14" s="4"/>
      <c r="B14" s="23">
        <f t="shared" si="2"/>
        <v>41</v>
      </c>
      <c r="C14" s="24">
        <v>4</v>
      </c>
      <c r="D14" s="17" t="str">
        <f t="shared" si="0"/>
        <v>0001</v>
      </c>
      <c r="E14" s="25">
        <f t="shared" si="1"/>
        <v>1</v>
      </c>
      <c r="F14" s="33" t="s">
        <v>0</v>
      </c>
      <c r="G14" s="29" t="str">
        <f>HEX2BIN(MID(D14,1,2),8)</f>
        <v>00000000</v>
      </c>
      <c r="H14" s="29" t="str">
        <f>HEX2BIN(MID(D14,3,2),8)</f>
        <v>00000001</v>
      </c>
      <c r="I14" s="51">
        <f>IF((MID($G14,1,1)="0"),0,1)</f>
        <v>0</v>
      </c>
      <c r="J14" s="51">
        <f>IF((MID($G14,2,1)="0"),0,1)</f>
        <v>0</v>
      </c>
      <c r="K14" s="51">
        <f>IF((MID($G14,3,1)="0"),0,1)</f>
        <v>0</v>
      </c>
      <c r="L14" s="51">
        <f>IF((MID($G14,4,1)="0"),0,1)</f>
        <v>0</v>
      </c>
      <c r="M14" s="51">
        <f>IF((MID($G14,5,1)="0"),0,1)</f>
        <v>0</v>
      </c>
      <c r="N14" s="51">
        <f>IF((MID($G14,6,1)="0"),0,1)</f>
        <v>0</v>
      </c>
      <c r="O14" s="51">
        <f>IF((MID($G14,7,1)="0"),0,1)</f>
        <v>0</v>
      </c>
      <c r="P14" s="51">
        <f>IF((MID($G14,8,1)="0"),0,1)</f>
        <v>0</v>
      </c>
      <c r="Q14" s="31" t="str">
        <f>IF((MID($H14,1,1)="0"),"OC Open","OC Closed")</f>
        <v>OC Open</v>
      </c>
      <c r="R14" s="31" t="str">
        <f>IF((MID($H14,2,1)="0"),"Ch2 Open","Ch2 Closed")</f>
        <v>Ch2 Open</v>
      </c>
      <c r="S14" s="31" t="str">
        <f>IF((MID($H14,3,1)="0"),"Ch1 Open","Ch1 Closed")</f>
        <v>Ch1 Open</v>
      </c>
      <c r="T14" s="31">
        <f>IF((MID($H14,4,1)="0"),0,1)</f>
        <v>0</v>
      </c>
      <c r="U14" s="5">
        <f>IF((MID($H14,5,1)="0"),0,1)</f>
        <v>0</v>
      </c>
      <c r="V14" s="6">
        <f>IF((MID($H14,6,1)="0"),0,1)</f>
        <v>0</v>
      </c>
      <c r="W14" s="32">
        <f>IF((MID($H14,7,1)="0"),0,1)</f>
        <v>0</v>
      </c>
      <c r="X14" s="45" t="str">
        <f>IF((MID($H14,8,1)="0"),"Normal","Alarm")</f>
        <v>Alarm</v>
      </c>
    </row>
    <row r="15" spans="1:24" ht="15" customHeight="1" x14ac:dyDescent="0.3">
      <c r="A15" s="4"/>
      <c r="B15" s="23"/>
      <c r="C15" s="24"/>
      <c r="D15" s="17"/>
      <c r="E15" s="25"/>
      <c r="F15" s="46"/>
      <c r="G15" s="47"/>
      <c r="H15" s="48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8" t="s">
        <v>155</v>
      </c>
      <c r="V15" s="89"/>
      <c r="W15" s="67"/>
      <c r="X15" s="68"/>
    </row>
    <row r="16" spans="1:24" x14ac:dyDescent="0.3">
      <c r="A16" s="4"/>
      <c r="B16" s="23"/>
      <c r="C16" s="24"/>
      <c r="D16" s="17"/>
      <c r="E16" s="28"/>
      <c r="F16" s="1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90"/>
      <c r="V16" s="89"/>
      <c r="W16" s="67"/>
      <c r="X16" s="68"/>
    </row>
    <row r="17" spans="2:24" x14ac:dyDescent="0.3">
      <c r="B17" s="34"/>
      <c r="C17" s="14"/>
      <c r="D17" s="14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0"/>
      <c r="V17" s="89"/>
      <c r="W17" s="67"/>
      <c r="X17" s="68"/>
    </row>
    <row r="18" spans="2:24" x14ac:dyDescent="0.3">
      <c r="B18" s="34"/>
      <c r="C18" s="14"/>
      <c r="D18" s="14"/>
      <c r="E18" s="28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0"/>
      <c r="V18" s="89"/>
      <c r="W18" s="67"/>
      <c r="X18" s="68"/>
    </row>
    <row r="19" spans="2:24" x14ac:dyDescent="0.3">
      <c r="B19" s="34"/>
      <c r="C19" s="14"/>
      <c r="D19" s="14"/>
      <c r="E19" s="28"/>
      <c r="F19" s="1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90"/>
      <c r="V19" s="89"/>
      <c r="W19" s="67"/>
      <c r="X19" s="68"/>
    </row>
    <row r="20" spans="2:24" x14ac:dyDescent="0.3">
      <c r="B20" s="34"/>
      <c r="C20" s="14"/>
      <c r="D20" s="14"/>
      <c r="E20" s="17"/>
      <c r="F20" s="18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91"/>
      <c r="V20" s="92"/>
      <c r="W20" s="67"/>
      <c r="X20" s="68"/>
    </row>
    <row r="21" spans="2:24" ht="15" thickBot="1" x14ac:dyDescent="0.35">
      <c r="B21" s="35"/>
      <c r="C21" s="36"/>
      <c r="D21" s="36"/>
      <c r="E21" s="37"/>
      <c r="F21" s="38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9"/>
    </row>
    <row r="22" spans="2:24" ht="15" thickTop="1" x14ac:dyDescent="0.3"/>
    <row r="24" spans="2:24" ht="15" thickBot="1" x14ac:dyDescent="0.35"/>
    <row r="25" spans="2:24" ht="27" thickTop="1" thickBot="1" x14ac:dyDescent="0.55000000000000004">
      <c r="B25" s="85" t="s">
        <v>92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</row>
    <row r="26" spans="2:24" ht="40.049999999999997" customHeight="1" thickTop="1" x14ac:dyDescent="0.35">
      <c r="B26" s="81" t="s">
        <v>93</v>
      </c>
      <c r="C26" s="82"/>
      <c r="D26" s="82"/>
      <c r="E26" s="103" t="s">
        <v>62</v>
      </c>
      <c r="F26" s="104"/>
      <c r="G26" s="105"/>
      <c r="H26" s="41" t="s">
        <v>42</v>
      </c>
      <c r="I26" s="98" t="s">
        <v>43</v>
      </c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99"/>
      <c r="V26" s="99"/>
      <c r="W26" s="100"/>
    </row>
    <row r="27" spans="2:24" x14ac:dyDescent="0.3">
      <c r="B27" s="83"/>
      <c r="C27" s="84"/>
      <c r="D27" s="84"/>
      <c r="E27" s="108"/>
      <c r="F27" s="84"/>
      <c r="G27" s="40"/>
      <c r="H27" s="40"/>
      <c r="I27" s="101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102"/>
    </row>
    <row r="28" spans="2:24" x14ac:dyDescent="0.3">
      <c r="B28" s="93" t="s">
        <v>41</v>
      </c>
      <c r="C28" s="84"/>
      <c r="D28" s="84"/>
      <c r="E28" s="106" t="s">
        <v>46</v>
      </c>
      <c r="F28" s="84"/>
      <c r="G28" s="51">
        <v>0</v>
      </c>
      <c r="H28" s="29" t="str">
        <f>DEC2HEX(G28,6)</f>
        <v>000000</v>
      </c>
      <c r="I28" s="96" t="str">
        <f>H28&amp;H29&amp;H30&amp;H31&amp;H32&amp;H33&amp;H34&amp;H35&amp;H36&amp;H37&amp;H38&amp;H39&amp;H40&amp;H41&amp;H42&amp;H43&amp;H44&amp;H45&amp;H46</f>
        <v>000000030000012C000000000005000A000000000000000000000000000000000000000001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6"/>
      <c r="V28" s="96"/>
      <c r="W28" s="97"/>
    </row>
    <row r="29" spans="2:24" x14ac:dyDescent="0.3">
      <c r="B29" s="93" t="s">
        <v>60</v>
      </c>
      <c r="C29" s="84"/>
      <c r="D29" s="84"/>
      <c r="E29" s="106" t="s">
        <v>45</v>
      </c>
      <c r="F29" s="84"/>
      <c r="G29" s="29">
        <v>3</v>
      </c>
      <c r="H29" s="29" t="str">
        <f>DEC2HEX(G29,2)</f>
        <v>03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6"/>
      <c r="V29" s="96"/>
      <c r="W29" s="97"/>
    </row>
    <row r="30" spans="2:24" x14ac:dyDescent="0.3">
      <c r="B30" s="93" t="s">
        <v>41</v>
      </c>
      <c r="C30" s="84"/>
      <c r="D30" s="84"/>
      <c r="E30" s="106" t="s">
        <v>46</v>
      </c>
      <c r="F30" s="84"/>
      <c r="G30" s="29">
        <v>0</v>
      </c>
      <c r="H30" s="29" t="str">
        <f>DEC2HEX(G30,4)</f>
        <v>0000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2:24" x14ac:dyDescent="0.3">
      <c r="B31" s="93" t="s">
        <v>61</v>
      </c>
      <c r="C31" s="84"/>
      <c r="D31" s="84"/>
      <c r="E31" s="106" t="s">
        <v>44</v>
      </c>
      <c r="F31" s="84"/>
      <c r="G31" s="42">
        <v>5</v>
      </c>
      <c r="H31" s="29" t="str">
        <f>DEC2HEX(G31*60,4)</f>
        <v>012C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2:24" x14ac:dyDescent="0.3">
      <c r="B32" s="93" t="s">
        <v>41</v>
      </c>
      <c r="C32" s="84"/>
      <c r="D32" s="84"/>
      <c r="E32" s="106" t="s">
        <v>46</v>
      </c>
      <c r="F32" s="84"/>
      <c r="G32" s="73">
        <v>0</v>
      </c>
      <c r="H32" s="29" t="str">
        <f t="shared" ref="H32" si="3">DEC2HEX(G32,4)</f>
        <v>0000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41</v>
      </c>
      <c r="C33" s="84"/>
      <c r="D33" s="84"/>
      <c r="E33" s="106" t="s">
        <v>46</v>
      </c>
      <c r="F33" s="84"/>
      <c r="G33" s="73">
        <v>0</v>
      </c>
      <c r="H33" s="29" t="str">
        <f>DEC2HEX(G33*3600,4)</f>
        <v>0000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48</v>
      </c>
      <c r="C34" s="84"/>
      <c r="D34" s="84"/>
      <c r="E34" s="114" t="s">
        <v>90</v>
      </c>
      <c r="F34" s="114"/>
      <c r="G34" s="50">
        <v>5</v>
      </c>
      <c r="H34" s="29" t="str">
        <f>DEC2HEX(G34,4)</f>
        <v>0005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3" t="s">
        <v>49</v>
      </c>
      <c r="C35" s="84"/>
      <c r="D35" s="84"/>
      <c r="E35" s="114" t="s">
        <v>91</v>
      </c>
      <c r="F35" s="114"/>
      <c r="G35" s="50">
        <v>10</v>
      </c>
      <c r="H35" s="29" t="str">
        <f>DEC2HEX(G35,4)</f>
        <v>000A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3" t="s">
        <v>50</v>
      </c>
      <c r="C36" s="84"/>
      <c r="D36" s="84"/>
      <c r="E36" s="106" t="s">
        <v>46</v>
      </c>
      <c r="F36" s="84"/>
      <c r="G36" s="7">
        <v>0</v>
      </c>
      <c r="H36" s="29" t="str">
        <f>DEC2HEX(G36,4)</f>
        <v>0000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5" t="s">
        <v>51</v>
      </c>
      <c r="C37" s="84"/>
      <c r="D37" s="84"/>
      <c r="E37" s="106" t="s">
        <v>46</v>
      </c>
      <c r="F37" s="84"/>
      <c r="G37" s="7">
        <v>0</v>
      </c>
      <c r="H37" s="29" t="str">
        <f>DEC2HEX(G37,4)</f>
        <v>0000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4" t="s">
        <v>52</v>
      </c>
      <c r="C38" s="84"/>
      <c r="D38" s="84"/>
      <c r="E38" s="106" t="s">
        <v>46</v>
      </c>
      <c r="F38" s="84"/>
      <c r="G38" s="7">
        <v>0</v>
      </c>
      <c r="H38" s="29" t="str">
        <f t="shared" ref="H38:H45" si="4">DEC2HEX(G38,4)</f>
        <v>0000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53</v>
      </c>
      <c r="C39" s="84"/>
      <c r="D39" s="84"/>
      <c r="E39" s="106" t="s">
        <v>46</v>
      </c>
      <c r="F39" s="84"/>
      <c r="G39" s="7">
        <v>0</v>
      </c>
      <c r="H39" s="29" t="str">
        <f t="shared" si="4"/>
        <v>0000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54</v>
      </c>
      <c r="C40" s="84"/>
      <c r="D40" s="84"/>
      <c r="E40" s="106" t="s">
        <v>46</v>
      </c>
      <c r="F40" s="84"/>
      <c r="G40" s="7">
        <v>0</v>
      </c>
      <c r="H40" s="29" t="str">
        <f t="shared" si="4"/>
        <v>0000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55</v>
      </c>
      <c r="C41" s="84"/>
      <c r="D41" s="84"/>
      <c r="E41" s="106" t="s">
        <v>46</v>
      </c>
      <c r="F41" s="84"/>
      <c r="G41" s="7">
        <v>0</v>
      </c>
      <c r="H41" s="29" t="str">
        <f t="shared" si="4"/>
        <v>0000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56</v>
      </c>
      <c r="C42" s="84"/>
      <c r="D42" s="84"/>
      <c r="E42" s="106" t="s">
        <v>46</v>
      </c>
      <c r="F42" s="84"/>
      <c r="G42" s="7">
        <v>0</v>
      </c>
      <c r="H42" s="29" t="str">
        <f t="shared" si="4"/>
        <v>0000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57</v>
      </c>
      <c r="C43" s="84"/>
      <c r="D43" s="84"/>
      <c r="E43" s="106" t="s">
        <v>46</v>
      </c>
      <c r="F43" s="84"/>
      <c r="G43" s="7">
        <v>0</v>
      </c>
      <c r="H43" s="29" t="str">
        <f t="shared" si="4"/>
        <v>0000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58</v>
      </c>
      <c r="C44" s="84"/>
      <c r="D44" s="84"/>
      <c r="E44" s="106" t="s">
        <v>46</v>
      </c>
      <c r="F44" s="84"/>
      <c r="G44" s="7">
        <v>0</v>
      </c>
      <c r="H44" s="29" t="str">
        <f t="shared" si="4"/>
        <v>0000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x14ac:dyDescent="0.3">
      <c r="B45" s="94" t="s">
        <v>59</v>
      </c>
      <c r="C45" s="84"/>
      <c r="D45" s="84"/>
      <c r="E45" s="106" t="s">
        <v>46</v>
      </c>
      <c r="F45" s="84"/>
      <c r="G45" s="7">
        <v>0</v>
      </c>
      <c r="H45" s="29" t="str">
        <f t="shared" si="4"/>
        <v>0000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</row>
    <row r="46" spans="2:23" x14ac:dyDescent="0.3">
      <c r="B46" s="94" t="s">
        <v>41</v>
      </c>
      <c r="C46" s="84"/>
      <c r="D46" s="84"/>
      <c r="E46" s="106" t="s">
        <v>47</v>
      </c>
      <c r="F46" s="84"/>
      <c r="G46" s="29">
        <v>1</v>
      </c>
      <c r="H46" s="29" t="str">
        <f>DEC2HEX(G46,2)</f>
        <v>01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5"/>
    </row>
    <row r="47" spans="2:23" ht="15" thickBot="1" x14ac:dyDescent="0.35">
      <c r="B47" s="35"/>
      <c r="C47" s="36"/>
      <c r="D47" s="36"/>
      <c r="E47" s="37"/>
      <c r="F47" s="38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9"/>
    </row>
    <row r="48" spans="2:23" ht="15" thickTop="1" x14ac:dyDescent="0.3"/>
  </sheetData>
  <mergeCells count="49">
    <mergeCell ref="B45:D45"/>
    <mergeCell ref="E45:F45"/>
    <mergeCell ref="B46:D46"/>
    <mergeCell ref="E46:F46"/>
    <mergeCell ref="B25:W25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B33:D33"/>
    <mergeCell ref="E33:F33"/>
    <mergeCell ref="B34:D34"/>
    <mergeCell ref="E34:F34"/>
    <mergeCell ref="B35:D35"/>
    <mergeCell ref="E35:F35"/>
    <mergeCell ref="B30:D30"/>
    <mergeCell ref="E30:F30"/>
    <mergeCell ref="B31:D31"/>
    <mergeCell ref="E31:F31"/>
    <mergeCell ref="B32:D32"/>
    <mergeCell ref="E32:F32"/>
    <mergeCell ref="B27:D27"/>
    <mergeCell ref="E27:F27"/>
    <mergeCell ref="I27:W27"/>
    <mergeCell ref="B28:D28"/>
    <mergeCell ref="E28:F28"/>
    <mergeCell ref="I28:W29"/>
    <mergeCell ref="B29:D29"/>
    <mergeCell ref="E29:F29"/>
    <mergeCell ref="B2:E2"/>
    <mergeCell ref="B3:F3"/>
    <mergeCell ref="B26:D26"/>
    <mergeCell ref="E26:G26"/>
    <mergeCell ref="I26:W26"/>
    <mergeCell ref="U15:V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9"/>
  <sheetViews>
    <sheetView topLeftCell="A10" zoomScaleNormal="100" zoomScalePageLayoutView="125" workbookViewId="0">
      <selection activeCell="G34" sqref="G34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3.44140625" style="2" customWidth="1"/>
    <col min="5" max="5" width="13" style="1" customWidth="1"/>
    <col min="6" max="6" width="25.77734375" style="3" customWidth="1"/>
    <col min="7" max="7" width="9" style="2" customWidth="1"/>
    <col min="8" max="8" width="9.109375" style="2" customWidth="1"/>
    <col min="9" max="20" width="7.77734375" style="2" customWidth="1"/>
    <col min="21" max="16384" width="10.77734375" style="2"/>
  </cols>
  <sheetData>
    <row r="1" spans="1:24" ht="15" thickBot="1" x14ac:dyDescent="0.35"/>
    <row r="2" spans="1:24" ht="15" thickTop="1" x14ac:dyDescent="0.3">
      <c r="B2" s="8"/>
      <c r="C2" s="9"/>
      <c r="D2" s="9"/>
      <c r="E2" s="10"/>
      <c r="F2" s="1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B3" s="76" t="s">
        <v>39</v>
      </c>
      <c r="C3" s="77"/>
      <c r="D3" s="77"/>
      <c r="E3" s="77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ht="21" x14ac:dyDescent="0.4">
      <c r="A4" s="4"/>
      <c r="B4" s="78" t="s">
        <v>158</v>
      </c>
      <c r="C4" s="79"/>
      <c r="D4" s="79"/>
      <c r="E4" s="79"/>
      <c r="F4" s="80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A5" s="4"/>
      <c r="B5" s="16"/>
      <c r="C5" s="14"/>
      <c r="D5" s="14"/>
      <c r="E5" s="17"/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B6" s="19" t="s">
        <v>3</v>
      </c>
      <c r="C6" s="20" t="s">
        <v>2</v>
      </c>
      <c r="D6" s="21" t="s">
        <v>1</v>
      </c>
      <c r="E6" s="22" t="s">
        <v>40</v>
      </c>
      <c r="F6" s="18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v>1</v>
      </c>
      <c r="C7" s="24">
        <v>6</v>
      </c>
      <c r="D7" s="17" t="str">
        <f t="shared" ref="D7:D15" si="0">MID($B$4,B7,C7)</f>
        <v>00006D</v>
      </c>
      <c r="E7" s="25">
        <f>HEX2DEC(D7)</f>
        <v>109</v>
      </c>
      <c r="F7" s="18" t="s">
        <v>37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ref="B8:B15" si="1">B7+C7</f>
        <v>7</v>
      </c>
      <c r="C8" s="24">
        <v>2</v>
      </c>
      <c r="D8" s="17" t="str">
        <f t="shared" si="0"/>
        <v>04</v>
      </c>
      <c r="E8" s="25">
        <f>HEX2DEC(D8)</f>
        <v>4</v>
      </c>
      <c r="F8" s="18" t="s">
        <v>4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1"/>
        <v>9</v>
      </c>
      <c r="C9" s="24">
        <v>2</v>
      </c>
      <c r="D9" s="17" t="str">
        <f t="shared" si="0"/>
        <v>13</v>
      </c>
      <c r="E9" s="25">
        <f>HEX2DEC(D9)</f>
        <v>19</v>
      </c>
      <c r="F9" s="18" t="s">
        <v>5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1"/>
        <v>11</v>
      </c>
      <c r="C10" s="24">
        <v>2</v>
      </c>
      <c r="D10" s="17" t="str">
        <f t="shared" si="0"/>
        <v>01</v>
      </c>
      <c r="E10" s="26" t="str">
        <f>HEX2BIN(D10,8)</f>
        <v>00000001</v>
      </c>
      <c r="F10" s="27" t="s">
        <v>38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1"/>
        <v>13</v>
      </c>
      <c r="C11" s="24">
        <v>4</v>
      </c>
      <c r="D11" s="17" t="str">
        <f t="shared" si="0"/>
        <v>FFE5</v>
      </c>
      <c r="E11" s="7">
        <f>IF(LEFT(D11,1)&gt;="A",(HEX2DEC(D11)-65536)/10,HEX2DEC(D11)/10)</f>
        <v>-2.7</v>
      </c>
      <c r="F11" s="18" t="s">
        <v>6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3">
      <c r="A12" s="4"/>
      <c r="B12" s="23">
        <f t="shared" si="1"/>
        <v>17</v>
      </c>
      <c r="C12" s="24">
        <v>4</v>
      </c>
      <c r="D12" s="17" t="str">
        <f t="shared" si="0"/>
        <v>0120</v>
      </c>
      <c r="E12" s="28">
        <f>HEX2DEC(D12)/10</f>
        <v>28.8</v>
      </c>
      <c r="F12" s="18" t="s">
        <v>7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</row>
    <row r="13" spans="1:24" x14ac:dyDescent="0.3">
      <c r="A13" s="4"/>
      <c r="B13" s="23">
        <f t="shared" si="1"/>
        <v>21</v>
      </c>
      <c r="C13" s="24">
        <v>4</v>
      </c>
      <c r="D13" s="17" t="str">
        <f t="shared" si="0"/>
        <v>0000</v>
      </c>
      <c r="E13" s="25">
        <f>HEX2DEC(D13)</f>
        <v>0</v>
      </c>
      <c r="F13" s="18" t="s">
        <v>8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5"/>
    </row>
    <row r="14" spans="1:24" x14ac:dyDescent="0.3">
      <c r="A14" s="4"/>
      <c r="B14" s="23">
        <f t="shared" si="1"/>
        <v>25</v>
      </c>
      <c r="C14" s="24">
        <v>4</v>
      </c>
      <c r="D14" s="17" t="str">
        <f t="shared" si="0"/>
        <v>0000</v>
      </c>
      <c r="E14" s="25">
        <f>HEX2DEC(D14)</f>
        <v>0</v>
      </c>
      <c r="F14" s="18" t="s">
        <v>9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5"/>
    </row>
    <row r="15" spans="1:24" x14ac:dyDescent="0.3">
      <c r="A15" s="4"/>
      <c r="B15" s="23">
        <f t="shared" si="1"/>
        <v>29</v>
      </c>
      <c r="C15" s="24">
        <v>4</v>
      </c>
      <c r="D15" s="17" t="str">
        <f t="shared" si="0"/>
        <v>0008</v>
      </c>
      <c r="E15" s="25">
        <f>HEX2DEC(D15)</f>
        <v>8</v>
      </c>
      <c r="F15" s="18" t="s">
        <v>10</v>
      </c>
      <c r="G15" s="67" t="str">
        <f>HEX2BIN(MID(D15,1,2),8)</f>
        <v>00000000</v>
      </c>
      <c r="H15" s="67" t="str">
        <f>HEX2BIN(MID(D15,3,2),8)</f>
        <v>00001000</v>
      </c>
      <c r="I15" s="51">
        <f>IF((MID($G15,1,1)="0"),0,1)</f>
        <v>0</v>
      </c>
      <c r="J15" s="51">
        <f>IF((MID($G15,2,1)="0"),0,1)</f>
        <v>0</v>
      </c>
      <c r="K15" s="51">
        <f>IF((MID($G15,3,1)="0"),0,1)</f>
        <v>0</v>
      </c>
      <c r="L15" s="51">
        <f>IF((MID($G15,4,1)="0"),0,1)</f>
        <v>0</v>
      </c>
      <c r="M15" s="51">
        <f>IF((MID($G15,5,1)="0"),0,1)</f>
        <v>0</v>
      </c>
      <c r="N15" s="51">
        <f>IF((MID($G15,6,1)="0"),0,1)</f>
        <v>0</v>
      </c>
      <c r="O15" s="51">
        <f>IF((MID($G15,7,1)="0"),0,1)</f>
        <v>0</v>
      </c>
      <c r="P15" s="51">
        <f>IF((MID($G15,8,1)="0"),0,1)</f>
        <v>0</v>
      </c>
      <c r="Q15" s="51">
        <f>IF((MID($H15,1,1)="0"),0,1)</f>
        <v>0</v>
      </c>
      <c r="R15" s="51">
        <f>IF((MID($H15,2,1)="0"),0,1)</f>
        <v>0</v>
      </c>
      <c r="S15" s="51">
        <f>IF((MID($H15,3,1)="0"),0,1)</f>
        <v>0</v>
      </c>
      <c r="T15" s="51">
        <f>IF((MID($H15,4,1)="0"),0,1)</f>
        <v>0</v>
      </c>
      <c r="U15" s="32" t="str">
        <f>IF((MID($H15,5,1)="0"),"Hum Lo OK","Hum Lo Alm")</f>
        <v>Hum Lo Alm</v>
      </c>
      <c r="V15" s="32" t="str">
        <f>IF((MID($H15,6,1)="0"),"Hum Hi OK","Hum Hi Alm")</f>
        <v>Hum Hi OK</v>
      </c>
      <c r="W15" s="32" t="str">
        <f>IF((MID($H15,7,1)="0"),"Temp Lo OK","Temp Lo Alm")</f>
        <v>Temp Lo OK</v>
      </c>
      <c r="X15" s="45" t="str">
        <f>IF((MID($H15,8,1)="0"),"Temp Hi OK","Temp Hi Alm")</f>
        <v>Temp Hi OK</v>
      </c>
    </row>
    <row r="16" spans="1:24" x14ac:dyDescent="0.3">
      <c r="A16" s="4"/>
      <c r="B16" s="23">
        <f>B15+C15</f>
        <v>33</v>
      </c>
      <c r="C16" s="24">
        <v>4</v>
      </c>
      <c r="D16" s="17" t="str">
        <f>MID($B$4,B16,C16)</f>
        <v>0000</v>
      </c>
      <c r="E16" s="25">
        <f>HEX2DEC(D16)</f>
        <v>0</v>
      </c>
      <c r="F16" s="33" t="s">
        <v>0</v>
      </c>
      <c r="G16" s="67" t="str">
        <f>HEX2BIN(MID(D16,1,2),8)</f>
        <v>00000000</v>
      </c>
      <c r="H16" s="67" t="str">
        <f>HEX2BIN(MID(D16,3,2),8)</f>
        <v>00000000</v>
      </c>
      <c r="I16" s="51">
        <f>IF((MID($G16,1,1)="0"),0,1)</f>
        <v>0</v>
      </c>
      <c r="J16" s="51">
        <f>IF((MID($G16,2,1)="0"),0,1)</f>
        <v>0</v>
      </c>
      <c r="K16" s="51">
        <f>IF((MID($G16,3,1)="0"),0,1)</f>
        <v>0</v>
      </c>
      <c r="L16" s="51">
        <f>IF((MID($G16,4,1)="0"),0,1)</f>
        <v>0</v>
      </c>
      <c r="M16" s="51">
        <f>IF((MID($G16,5,1)="0"),0,1)</f>
        <v>0</v>
      </c>
      <c r="N16" s="51">
        <f>IF((MID($G16,6,1)="0"),0,1)</f>
        <v>0</v>
      </c>
      <c r="O16" s="51">
        <f>IF((MID($G16,7,1)="0"),0,1)</f>
        <v>0</v>
      </c>
      <c r="P16" s="51">
        <f>IF((MID($G16,8,1)="0"),0,1)</f>
        <v>0</v>
      </c>
      <c r="Q16" s="51">
        <f>IF((MID($H16,1,1)="0"),0,1)</f>
        <v>0</v>
      </c>
      <c r="R16" s="51">
        <f>IF((MID($H16,2,1)="0"),0,1)</f>
        <v>0</v>
      </c>
      <c r="S16" s="51">
        <f>IF((MID($H16,3,1)="0"),0,1)</f>
        <v>0</v>
      </c>
      <c r="T16" s="51">
        <f>IF((MID($H16,4,1)="0"),0,1)</f>
        <v>0</v>
      </c>
      <c r="U16" s="5">
        <f>IF((MID($H16,5,1)="0"),0,1)</f>
        <v>0</v>
      </c>
      <c r="V16" s="6">
        <f>IF((MID($H16,6,1)="0"),0,1)</f>
        <v>0</v>
      </c>
      <c r="W16" s="32">
        <f>IF((MID($H16,7,1)="0"),0,1)</f>
        <v>0</v>
      </c>
      <c r="X16" s="45" t="str">
        <f>IF((MID($H16,8,1)="0"),"Normal","Alarm")</f>
        <v>Normal</v>
      </c>
    </row>
    <row r="17" spans="1:24" ht="15" customHeight="1" x14ac:dyDescent="0.3">
      <c r="A17" s="4"/>
      <c r="B17" s="23"/>
      <c r="C17" s="24"/>
      <c r="D17" s="17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8" t="s">
        <v>155</v>
      </c>
      <c r="V17" s="89"/>
      <c r="W17" s="67"/>
      <c r="X17" s="68"/>
    </row>
    <row r="18" spans="1:24" x14ac:dyDescent="0.3">
      <c r="B18" s="34"/>
      <c r="C18" s="14"/>
      <c r="D18" s="14"/>
      <c r="E18" s="28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0"/>
      <c r="V18" s="89"/>
      <c r="W18" s="67"/>
      <c r="X18" s="68"/>
    </row>
    <row r="19" spans="1:24" x14ac:dyDescent="0.3">
      <c r="B19" s="34"/>
      <c r="C19" s="14"/>
      <c r="D19" s="14"/>
      <c r="E19" s="28"/>
      <c r="F19" s="1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90"/>
      <c r="V19" s="89"/>
      <c r="W19" s="67"/>
      <c r="X19" s="68"/>
    </row>
    <row r="20" spans="1:24" x14ac:dyDescent="0.3">
      <c r="B20" s="34"/>
      <c r="C20" s="14"/>
      <c r="D20" s="14"/>
      <c r="E20" s="17"/>
      <c r="F20" s="18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90"/>
      <c r="V20" s="89"/>
      <c r="W20" s="67"/>
      <c r="X20" s="68"/>
    </row>
    <row r="21" spans="1:24" x14ac:dyDescent="0.3">
      <c r="B21" s="34"/>
      <c r="C21" s="14"/>
      <c r="D21" s="14"/>
      <c r="E21" s="17"/>
      <c r="F21" s="18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90"/>
      <c r="V21" s="89"/>
      <c r="W21" s="67"/>
      <c r="X21" s="68"/>
    </row>
    <row r="22" spans="1:24" x14ac:dyDescent="0.3">
      <c r="B22" s="34"/>
      <c r="C22" s="14"/>
      <c r="D22" s="14"/>
      <c r="E22" s="17"/>
      <c r="F22" s="18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91"/>
      <c r="V22" s="92"/>
      <c r="W22" s="67"/>
      <c r="X22" s="68"/>
    </row>
    <row r="23" spans="1:24" ht="15" thickBot="1" x14ac:dyDescent="0.35">
      <c r="B23" s="35"/>
      <c r="C23" s="36"/>
      <c r="D23" s="36"/>
      <c r="E23" s="37"/>
      <c r="F23" s="38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9"/>
    </row>
    <row r="24" spans="1:24" ht="15" thickTop="1" x14ac:dyDescent="0.3"/>
    <row r="25" spans="1:24" ht="15" thickBot="1" x14ac:dyDescent="0.35"/>
    <row r="26" spans="1:24" ht="27" thickTop="1" thickBot="1" x14ac:dyDescent="0.55000000000000004">
      <c r="B26" s="85" t="s">
        <v>92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</row>
    <row r="27" spans="1:24" ht="37.950000000000003" customHeight="1" thickTop="1" x14ac:dyDescent="0.35">
      <c r="B27" s="81" t="s">
        <v>93</v>
      </c>
      <c r="C27" s="82"/>
      <c r="D27" s="82"/>
      <c r="E27" s="103" t="s">
        <v>62</v>
      </c>
      <c r="F27" s="104"/>
      <c r="G27" s="105"/>
      <c r="H27" s="41" t="s">
        <v>42</v>
      </c>
      <c r="I27" s="98" t="s">
        <v>43</v>
      </c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99"/>
      <c r="V27" s="99"/>
      <c r="W27" s="100"/>
    </row>
    <row r="28" spans="1:24" x14ac:dyDescent="0.3">
      <c r="B28" s="83"/>
      <c r="C28" s="84"/>
      <c r="D28" s="84"/>
      <c r="E28" s="108"/>
      <c r="F28" s="84"/>
      <c r="G28" s="40"/>
      <c r="H28" s="40"/>
      <c r="I28" s="101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102"/>
    </row>
    <row r="29" spans="1:24" x14ac:dyDescent="0.3">
      <c r="B29" s="93" t="s">
        <v>41</v>
      </c>
      <c r="C29" s="84"/>
      <c r="D29" s="84"/>
      <c r="E29" s="106" t="s">
        <v>46</v>
      </c>
      <c r="F29" s="84"/>
      <c r="G29" s="51">
        <v>0</v>
      </c>
      <c r="H29" s="29" t="str">
        <f>DEC2HEX(G29,6)</f>
        <v>000000</v>
      </c>
      <c r="I29" s="96" t="str">
        <f>H29&amp;H30&amp;H31&amp;H32&amp;H33&amp;H34&amp;H35&amp;H36&amp;H37&amp;H38&amp;H39&amp;H40&amp;H41&amp;H42&amp;H43&amp;H44&amp;H45&amp;H46&amp;H47</f>
        <v>000000030000012C00000000019000C8032001900000000000000000000000000000000001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6"/>
      <c r="V29" s="96"/>
      <c r="W29" s="97"/>
    </row>
    <row r="30" spans="1:24" x14ac:dyDescent="0.3">
      <c r="B30" s="93" t="s">
        <v>60</v>
      </c>
      <c r="C30" s="84"/>
      <c r="D30" s="84"/>
      <c r="E30" s="106" t="s">
        <v>45</v>
      </c>
      <c r="F30" s="84"/>
      <c r="G30" s="29">
        <v>3</v>
      </c>
      <c r="H30" s="29" t="str">
        <f>DEC2HEX(G30,2)</f>
        <v>03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7"/>
      <c r="U30" s="96"/>
      <c r="V30" s="96"/>
      <c r="W30" s="97"/>
    </row>
    <row r="31" spans="1:24" x14ac:dyDescent="0.3">
      <c r="B31" s="93" t="s">
        <v>41</v>
      </c>
      <c r="C31" s="84"/>
      <c r="D31" s="84"/>
      <c r="E31" s="106" t="s">
        <v>46</v>
      </c>
      <c r="F31" s="84"/>
      <c r="G31" s="29">
        <v>0</v>
      </c>
      <c r="H31" s="29" t="str">
        <f>DEC2HEX(G31,4)</f>
        <v>0000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1:24" x14ac:dyDescent="0.3">
      <c r="B32" s="93" t="s">
        <v>61</v>
      </c>
      <c r="C32" s="84"/>
      <c r="D32" s="84"/>
      <c r="E32" s="106" t="s">
        <v>44</v>
      </c>
      <c r="F32" s="84"/>
      <c r="G32" s="42">
        <v>5</v>
      </c>
      <c r="H32" s="29" t="str">
        <f>DEC2HEX(G32*60,4)</f>
        <v>012C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41</v>
      </c>
      <c r="C33" s="84"/>
      <c r="D33" s="84"/>
      <c r="E33" s="106" t="s">
        <v>46</v>
      </c>
      <c r="F33" s="84"/>
      <c r="G33" s="73">
        <v>0</v>
      </c>
      <c r="H33" s="29" t="str">
        <f t="shared" ref="H33:H46" si="2">DEC2HEX(G33,4)</f>
        <v>0000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41</v>
      </c>
      <c r="C34" s="84"/>
      <c r="D34" s="84"/>
      <c r="E34" s="106" t="s">
        <v>46</v>
      </c>
      <c r="F34" s="84"/>
      <c r="G34" s="73">
        <v>0</v>
      </c>
      <c r="H34" s="29" t="str">
        <f>DEC2HEX(G34*3600,4)</f>
        <v>0000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3" t="s">
        <v>48</v>
      </c>
      <c r="C35" s="84"/>
      <c r="D35" s="84"/>
      <c r="E35" s="106" t="s">
        <v>64</v>
      </c>
      <c r="F35" s="84"/>
      <c r="G35" s="43">
        <v>40</v>
      </c>
      <c r="H35" s="29" t="str">
        <f>IF(G35&lt;0,DEC2HEX(65536+(G35*10),4),DEC2HEX(G35*10,4))</f>
        <v>0190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3" t="s">
        <v>49</v>
      </c>
      <c r="C36" s="84"/>
      <c r="D36" s="84"/>
      <c r="E36" s="106" t="s">
        <v>65</v>
      </c>
      <c r="F36" s="84"/>
      <c r="G36" s="43">
        <v>20</v>
      </c>
      <c r="H36" s="72" t="str">
        <f>IF(G36&lt;0,DEC2HEX(65536+(G36*10),4),DEC2HEX(G36*10,4))</f>
        <v>00C8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3" t="s">
        <v>50</v>
      </c>
      <c r="C37" s="84"/>
      <c r="D37" s="84"/>
      <c r="E37" s="106" t="s">
        <v>66</v>
      </c>
      <c r="F37" s="84"/>
      <c r="G37" s="43">
        <v>80</v>
      </c>
      <c r="H37" s="72" t="str">
        <f>DEC2HEX(G37*10,4)</f>
        <v>0320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5" t="s">
        <v>51</v>
      </c>
      <c r="C38" s="84"/>
      <c r="D38" s="84"/>
      <c r="E38" s="107" t="s">
        <v>67</v>
      </c>
      <c r="F38" s="84"/>
      <c r="G38" s="43">
        <v>40</v>
      </c>
      <c r="H38" s="72" t="str">
        <f>DEC2HEX(G38*10,4)</f>
        <v>0190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52</v>
      </c>
      <c r="C39" s="84"/>
      <c r="D39" s="84"/>
      <c r="E39" s="106" t="s">
        <v>46</v>
      </c>
      <c r="F39" s="84"/>
      <c r="G39" s="29">
        <v>0</v>
      </c>
      <c r="H39" s="29" t="str">
        <f t="shared" si="2"/>
        <v>0000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53</v>
      </c>
      <c r="C40" s="84"/>
      <c r="D40" s="84"/>
      <c r="E40" s="106" t="s">
        <v>46</v>
      </c>
      <c r="F40" s="84"/>
      <c r="G40" s="29">
        <v>0</v>
      </c>
      <c r="H40" s="29" t="str">
        <f t="shared" si="2"/>
        <v>0000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54</v>
      </c>
      <c r="C41" s="84"/>
      <c r="D41" s="84"/>
      <c r="E41" s="106" t="s">
        <v>46</v>
      </c>
      <c r="F41" s="84"/>
      <c r="G41" s="29">
        <v>0</v>
      </c>
      <c r="H41" s="29" t="str">
        <f t="shared" si="2"/>
        <v>0000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55</v>
      </c>
      <c r="C42" s="84"/>
      <c r="D42" s="84"/>
      <c r="E42" s="106" t="s">
        <v>46</v>
      </c>
      <c r="F42" s="84"/>
      <c r="G42" s="29">
        <v>0</v>
      </c>
      <c r="H42" s="29" t="str">
        <f t="shared" si="2"/>
        <v>0000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56</v>
      </c>
      <c r="C43" s="84"/>
      <c r="D43" s="84"/>
      <c r="E43" s="106" t="s">
        <v>46</v>
      </c>
      <c r="F43" s="84"/>
      <c r="G43" s="29">
        <v>0</v>
      </c>
      <c r="H43" s="29" t="str">
        <f t="shared" si="2"/>
        <v>0000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57</v>
      </c>
      <c r="C44" s="84"/>
      <c r="D44" s="84"/>
      <c r="E44" s="106" t="s">
        <v>46</v>
      </c>
      <c r="F44" s="84"/>
      <c r="G44" s="29">
        <v>0</v>
      </c>
      <c r="H44" s="29" t="str">
        <f t="shared" si="2"/>
        <v>0000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x14ac:dyDescent="0.3">
      <c r="B45" s="94" t="s">
        <v>58</v>
      </c>
      <c r="C45" s="84"/>
      <c r="D45" s="84"/>
      <c r="E45" s="106" t="s">
        <v>46</v>
      </c>
      <c r="F45" s="84"/>
      <c r="G45" s="29">
        <v>0</v>
      </c>
      <c r="H45" s="29" t="str">
        <f t="shared" si="2"/>
        <v>0000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</row>
    <row r="46" spans="2:23" x14ac:dyDescent="0.3">
      <c r="B46" s="94" t="s">
        <v>59</v>
      </c>
      <c r="C46" s="84"/>
      <c r="D46" s="84"/>
      <c r="E46" s="106" t="s">
        <v>46</v>
      </c>
      <c r="F46" s="84"/>
      <c r="G46" s="29">
        <v>0</v>
      </c>
      <c r="H46" s="29" t="str">
        <f t="shared" si="2"/>
        <v>0000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5"/>
    </row>
    <row r="47" spans="2:23" x14ac:dyDescent="0.3">
      <c r="B47" s="94" t="s">
        <v>41</v>
      </c>
      <c r="C47" s="84"/>
      <c r="D47" s="84"/>
      <c r="E47" s="106" t="s">
        <v>47</v>
      </c>
      <c r="F47" s="84"/>
      <c r="G47" s="29">
        <v>1</v>
      </c>
      <c r="H47" s="29" t="str">
        <f>DEC2HEX(G47,2)</f>
        <v>01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5"/>
    </row>
    <row r="48" spans="2:23" ht="15" thickBot="1" x14ac:dyDescent="0.35">
      <c r="B48" s="35"/>
      <c r="C48" s="36"/>
      <c r="D48" s="36"/>
      <c r="E48" s="37"/>
      <c r="F48" s="38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9"/>
    </row>
    <row r="49" ht="15" thickTop="1" x14ac:dyDescent="0.3"/>
  </sheetData>
  <mergeCells count="49">
    <mergeCell ref="B47:D47"/>
    <mergeCell ref="E28:F28"/>
    <mergeCell ref="E29:F29"/>
    <mergeCell ref="E30:F30"/>
    <mergeCell ref="E31:F31"/>
    <mergeCell ref="E47:F47"/>
    <mergeCell ref="E43:F43"/>
    <mergeCell ref="E44:F44"/>
    <mergeCell ref="E45:F45"/>
    <mergeCell ref="E46:F46"/>
    <mergeCell ref="B44:D44"/>
    <mergeCell ref="B45:D45"/>
    <mergeCell ref="B46:D46"/>
    <mergeCell ref="B39:D39"/>
    <mergeCell ref="B40:D40"/>
    <mergeCell ref="B41:D41"/>
    <mergeCell ref="I29:W30"/>
    <mergeCell ref="I27:W27"/>
    <mergeCell ref="I28:W28"/>
    <mergeCell ref="E27:G27"/>
    <mergeCell ref="E42:F42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B42:D42"/>
    <mergeCell ref="B43:D43"/>
    <mergeCell ref="B34:D34"/>
    <mergeCell ref="B35:D35"/>
    <mergeCell ref="B36:D36"/>
    <mergeCell ref="B37:D37"/>
    <mergeCell ref="B38:D38"/>
    <mergeCell ref="B29:D29"/>
    <mergeCell ref="B30:D30"/>
    <mergeCell ref="B31:D31"/>
    <mergeCell ref="B32:D32"/>
    <mergeCell ref="B33:D33"/>
    <mergeCell ref="B3:E3"/>
    <mergeCell ref="B4:F4"/>
    <mergeCell ref="B27:D27"/>
    <mergeCell ref="B28:D28"/>
    <mergeCell ref="B26:W26"/>
    <mergeCell ref="U17:V2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AC274-1046-5B46-B5DE-1D339BB46F24}">
  <dimension ref="A1:X49"/>
  <sheetViews>
    <sheetView topLeftCell="A13" workbookViewId="0">
      <selection activeCell="B33" sqref="B33:G33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4.6640625" style="2" customWidth="1"/>
    <col min="5" max="5" width="13" style="1" customWidth="1"/>
    <col min="6" max="6" width="26.6640625" style="3" customWidth="1"/>
    <col min="7" max="7" width="9.77734375" style="2" customWidth="1"/>
    <col min="8" max="8" width="10.33203125" style="2" customWidth="1"/>
    <col min="9" max="18" width="7.77734375" style="2" customWidth="1"/>
    <col min="19" max="16384" width="10.77734375" style="2"/>
  </cols>
  <sheetData>
    <row r="1" spans="1:24" ht="15" thickBot="1" x14ac:dyDescent="0.35"/>
    <row r="2" spans="1:24" ht="18.600000000000001" thickTop="1" x14ac:dyDescent="0.35">
      <c r="B2" s="109" t="s">
        <v>39</v>
      </c>
      <c r="C2" s="110"/>
      <c r="D2" s="110"/>
      <c r="E2" s="110"/>
      <c r="F2" s="4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A3" s="4"/>
      <c r="B3" s="111" t="s">
        <v>27</v>
      </c>
      <c r="C3" s="112"/>
      <c r="D3" s="112"/>
      <c r="E3" s="112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x14ac:dyDescent="0.3">
      <c r="A4" s="4"/>
      <c r="B4" s="16"/>
      <c r="C4" s="14"/>
      <c r="D4" s="14"/>
      <c r="E4" s="17"/>
      <c r="F4" s="1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B5" s="19" t="s">
        <v>3</v>
      </c>
      <c r="C5" s="20" t="s">
        <v>2</v>
      </c>
      <c r="D5" s="21" t="s">
        <v>1</v>
      </c>
      <c r="E5" s="22" t="s">
        <v>40</v>
      </c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A6" s="4"/>
      <c r="B6" s="23">
        <v>1</v>
      </c>
      <c r="C6" s="24">
        <v>6</v>
      </c>
      <c r="D6" s="17" t="str">
        <f t="shared" ref="D6:D14" si="0">MID($B$3,B6,C6)</f>
        <v>000077</v>
      </c>
      <c r="E6" s="25">
        <f>HEX2DEC(D6)</f>
        <v>119</v>
      </c>
      <c r="F6" s="18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f t="shared" ref="B7:B14" si="1">B6+C6</f>
        <v>7</v>
      </c>
      <c r="C7" s="24">
        <v>2</v>
      </c>
      <c r="D7" s="17" t="str">
        <f t="shared" si="0"/>
        <v>05</v>
      </c>
      <c r="E7" s="25">
        <f>HEX2DEC(D7)</f>
        <v>5</v>
      </c>
      <c r="F7" s="18" t="s">
        <v>11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si="1"/>
        <v>9</v>
      </c>
      <c r="C8" s="24">
        <v>2</v>
      </c>
      <c r="D8" s="17" t="str">
        <f t="shared" si="0"/>
        <v>11</v>
      </c>
      <c r="E8" s="25">
        <f>HEX2DEC(D8)</f>
        <v>17</v>
      </c>
      <c r="F8" s="18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1"/>
        <v>11</v>
      </c>
      <c r="C9" s="24">
        <v>2</v>
      </c>
      <c r="D9" s="17" t="str">
        <f t="shared" si="0"/>
        <v>01</v>
      </c>
      <c r="E9" s="26" t="str">
        <f>HEX2BIN(D9,8)</f>
        <v>00000001</v>
      </c>
      <c r="F9" s="27" t="s">
        <v>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1"/>
        <v>13</v>
      </c>
      <c r="C10" s="24">
        <v>4</v>
      </c>
      <c r="D10" s="17" t="str">
        <f t="shared" si="0"/>
        <v>00E3</v>
      </c>
      <c r="E10" s="7">
        <f>IF(LEFT(D10,1)&gt;="A",(HEX2DEC(D10)-65536)/10,HEX2DEC(D10)/10)</f>
        <v>22.7</v>
      </c>
      <c r="F10" s="18" t="s">
        <v>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1"/>
        <v>17</v>
      </c>
      <c r="C11" s="24">
        <v>4</v>
      </c>
      <c r="D11" s="17" t="str">
        <f t="shared" si="0"/>
        <v>011F</v>
      </c>
      <c r="E11" s="28">
        <f>HEX2DEC(D11)/10</f>
        <v>28.7</v>
      </c>
      <c r="F11" s="18" t="s">
        <v>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3">
      <c r="A12" s="4"/>
      <c r="B12" s="23">
        <f t="shared" si="1"/>
        <v>21</v>
      </c>
      <c r="C12" s="24">
        <v>4</v>
      </c>
      <c r="D12" s="17" t="str">
        <f t="shared" si="0"/>
        <v>0014</v>
      </c>
      <c r="E12" s="25">
        <f>HEX2DEC(D12)</f>
        <v>20</v>
      </c>
      <c r="F12" s="18" t="s">
        <v>8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</row>
    <row r="13" spans="1:24" x14ac:dyDescent="0.3">
      <c r="A13" s="4"/>
      <c r="B13" s="23">
        <f t="shared" si="1"/>
        <v>25</v>
      </c>
      <c r="C13" s="24">
        <v>4</v>
      </c>
      <c r="D13" s="17" t="str">
        <f t="shared" si="0"/>
        <v>0000</v>
      </c>
      <c r="E13" s="25">
        <f>HEX2DEC(D13)</f>
        <v>0</v>
      </c>
      <c r="F13" s="18" t="s">
        <v>9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5"/>
    </row>
    <row r="14" spans="1:24" x14ac:dyDescent="0.3">
      <c r="A14" s="4"/>
      <c r="B14" s="23">
        <f t="shared" si="1"/>
        <v>29</v>
      </c>
      <c r="C14" s="24">
        <v>4</v>
      </c>
      <c r="D14" s="17" t="str">
        <f t="shared" si="0"/>
        <v>0028</v>
      </c>
      <c r="E14" s="25">
        <f>HEX2DEC(D14)</f>
        <v>40</v>
      </c>
      <c r="F14" s="18" t="s">
        <v>10</v>
      </c>
      <c r="G14" s="29" t="str">
        <f>HEX2BIN(MID(D14,1,2),8)</f>
        <v>00000000</v>
      </c>
      <c r="H14" s="29" t="str">
        <f>HEX2BIN(MID(D14,3,2),8)</f>
        <v>00101000</v>
      </c>
      <c r="I14" s="51">
        <f>IF((MID($G14,1,1)="0"),0,1)</f>
        <v>0</v>
      </c>
      <c r="J14" s="51">
        <f>IF((MID($G14,2,1)="0"),0,1)</f>
        <v>0</v>
      </c>
      <c r="K14" s="51">
        <f>IF((MID($G14,3,1)="0"),0,1)</f>
        <v>0</v>
      </c>
      <c r="L14" s="51">
        <f>IF((MID($G14,4,1)="0"),0,1)</f>
        <v>0</v>
      </c>
      <c r="M14" s="51">
        <f>IF((MID($G14,5,1)="0"),0,1)</f>
        <v>0</v>
      </c>
      <c r="N14" s="51">
        <f>IF((MID($G14,6,1)="0"),0,1)</f>
        <v>0</v>
      </c>
      <c r="O14" s="51">
        <f>IF((MID($G14,7,1)="0"),0,1)</f>
        <v>0</v>
      </c>
      <c r="P14" s="51">
        <f>IF((MID($G14,8,1)="0"),0,1)</f>
        <v>0</v>
      </c>
      <c r="Q14" s="51">
        <f>IF((MID($H14,1,1)="0"),0,1)</f>
        <v>0</v>
      </c>
      <c r="R14" s="51">
        <f>IF((MID($H14,2,1)="0"),0,1)</f>
        <v>0</v>
      </c>
      <c r="S14" s="31" t="str">
        <f>IF((MID($H14,3,1)="0"),"VOC Lo OK","VOC Lo Alm")</f>
        <v>VOC Lo Alm</v>
      </c>
      <c r="T14" s="31" t="str">
        <f>IF((MID($H14,4,1)="0"),"VOC Hi OK","VOC Hi Alm")</f>
        <v>VOC Hi OK</v>
      </c>
      <c r="U14" s="32" t="str">
        <f>IF((MID($H14,5,1)="0"),"Hum Lo OK","Hum Lo Alm")</f>
        <v>Hum Lo Alm</v>
      </c>
      <c r="V14" s="32" t="str">
        <f>IF((MID($H14,6,1)="0"),"Hum Hi OK","Hum Hi Alm")</f>
        <v>Hum Hi OK</v>
      </c>
      <c r="W14" s="32" t="str">
        <f>IF((MID($H14,7,1)="0"),"Temp Lo OK","Temp Lo Alm")</f>
        <v>Temp Lo OK</v>
      </c>
      <c r="X14" s="45" t="str">
        <f>IF((MID($H14,8,1)="0"),"Temp Hi OK","Temp Hi Alm")</f>
        <v>Temp Hi OK</v>
      </c>
    </row>
    <row r="15" spans="1:24" x14ac:dyDescent="0.3">
      <c r="A15" s="4"/>
      <c r="B15" s="23">
        <f>B14+C14</f>
        <v>33</v>
      </c>
      <c r="C15" s="24">
        <v>4</v>
      </c>
      <c r="D15" s="17" t="str">
        <f>MID($B$3,B15,C15)</f>
        <v>0000</v>
      </c>
      <c r="E15" s="25">
        <f>HEX2DEC(D15)</f>
        <v>0</v>
      </c>
      <c r="F15" s="33" t="s">
        <v>0</v>
      </c>
      <c r="G15" s="29" t="str">
        <f>HEX2BIN(MID(D15,1,2),8)</f>
        <v>00000000</v>
      </c>
      <c r="H15" s="29" t="str">
        <f>HEX2BIN(MID(D15,3,2),8)</f>
        <v>00000000</v>
      </c>
      <c r="I15" s="51">
        <f>IF((MID($G15,1,1)="0"),0,1)</f>
        <v>0</v>
      </c>
      <c r="J15" s="51">
        <f>IF((MID($G15,2,1)="0"),0,1)</f>
        <v>0</v>
      </c>
      <c r="K15" s="51">
        <f>IF((MID($G15,3,1)="0"),0,1)</f>
        <v>0</v>
      </c>
      <c r="L15" s="51">
        <f>IF((MID($G15,4,1)="0"),0,1)</f>
        <v>0</v>
      </c>
      <c r="M15" s="51">
        <f>IF((MID($G15,5,1)="0"),0,1)</f>
        <v>0</v>
      </c>
      <c r="N15" s="51">
        <f>IF((MID($G15,6,1)="0"),0,1)</f>
        <v>0</v>
      </c>
      <c r="O15" s="51">
        <f>IF((MID($G15,7,1)="0"),0,1)</f>
        <v>0</v>
      </c>
      <c r="P15" s="51">
        <f>IF((MID($G15,8,1)="0"),0,1)</f>
        <v>0</v>
      </c>
      <c r="Q15" s="51">
        <f>IF((MID($H15,1,1)="0"),0,1)</f>
        <v>0</v>
      </c>
      <c r="R15" s="51">
        <f>IF((MID($H15,2,1)="0"),0,1)</f>
        <v>0</v>
      </c>
      <c r="S15" s="51">
        <f>IF((MID($H15,3,1)="0"),0,1)</f>
        <v>0</v>
      </c>
      <c r="T15" s="51">
        <f>IF((MID($H15,4,1)="0"),0,1)</f>
        <v>0</v>
      </c>
      <c r="U15" s="5">
        <f>IF((MID($H15,5,1)="0"),0,1)</f>
        <v>0</v>
      </c>
      <c r="V15" s="6">
        <f>IF((MID($H15,6,1)="0"),0,1)</f>
        <v>0</v>
      </c>
      <c r="W15" s="32">
        <f>IF((MID($H15,7,1)="0"),0,1)</f>
        <v>0</v>
      </c>
      <c r="X15" s="45" t="str">
        <f>IF((MID($H15,8,1)="0"),"Normal","Alarm")</f>
        <v>Normal</v>
      </c>
    </row>
    <row r="16" spans="1:24" ht="15" customHeight="1" x14ac:dyDescent="0.3">
      <c r="A16" s="4"/>
      <c r="B16" s="23"/>
      <c r="C16" s="24"/>
      <c r="D16" s="17"/>
      <c r="E16" s="28"/>
      <c r="F16" s="1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8" t="s">
        <v>155</v>
      </c>
      <c r="V16" s="89"/>
      <c r="W16" s="67"/>
      <c r="X16" s="68"/>
    </row>
    <row r="17" spans="2:24" x14ac:dyDescent="0.3">
      <c r="B17" s="34"/>
      <c r="C17" s="14"/>
      <c r="D17" s="14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0"/>
      <c r="V17" s="89"/>
      <c r="W17" s="67"/>
      <c r="X17" s="68"/>
    </row>
    <row r="18" spans="2:24" x14ac:dyDescent="0.3">
      <c r="B18" s="34"/>
      <c r="C18" s="14"/>
      <c r="D18" s="14"/>
      <c r="E18" s="28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0"/>
      <c r="V18" s="89"/>
      <c r="W18" s="67"/>
      <c r="X18" s="68"/>
    </row>
    <row r="19" spans="2:24" x14ac:dyDescent="0.3">
      <c r="B19" s="34"/>
      <c r="C19" s="14"/>
      <c r="D19" s="14"/>
      <c r="E19" s="28"/>
      <c r="F19" s="1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90"/>
      <c r="V19" s="89"/>
      <c r="W19" s="67"/>
      <c r="X19" s="68"/>
    </row>
    <row r="20" spans="2:24" x14ac:dyDescent="0.3">
      <c r="B20" s="34"/>
      <c r="C20" s="14"/>
      <c r="D20" s="14"/>
      <c r="E20" s="17"/>
      <c r="F20" s="18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90"/>
      <c r="V20" s="89"/>
      <c r="W20" s="67"/>
      <c r="X20" s="68"/>
    </row>
    <row r="21" spans="2:24" x14ac:dyDescent="0.3">
      <c r="B21" s="34"/>
      <c r="C21" s="14"/>
      <c r="D21" s="14"/>
      <c r="E21" s="17"/>
      <c r="F21" s="18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91"/>
      <c r="V21" s="92"/>
      <c r="W21" s="67"/>
      <c r="X21" s="68"/>
    </row>
    <row r="22" spans="2:24" ht="15" thickBot="1" x14ac:dyDescent="0.35">
      <c r="B22" s="35"/>
      <c r="C22" s="36"/>
      <c r="D22" s="36"/>
      <c r="E22" s="37"/>
      <c r="F22" s="38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9"/>
    </row>
    <row r="23" spans="2:24" ht="15" thickTop="1" x14ac:dyDescent="0.3"/>
    <row r="25" spans="2:24" ht="15" thickBot="1" x14ac:dyDescent="0.35"/>
    <row r="26" spans="2:24" ht="27" thickTop="1" thickBot="1" x14ac:dyDescent="0.55000000000000004">
      <c r="B26" s="85" t="s">
        <v>92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</row>
    <row r="27" spans="2:24" ht="36" customHeight="1" thickTop="1" x14ac:dyDescent="0.35">
      <c r="B27" s="81" t="s">
        <v>93</v>
      </c>
      <c r="C27" s="82"/>
      <c r="D27" s="82"/>
      <c r="E27" s="103" t="s">
        <v>62</v>
      </c>
      <c r="F27" s="104"/>
      <c r="G27" s="105"/>
      <c r="H27" s="41" t="s">
        <v>42</v>
      </c>
      <c r="I27" s="98" t="s">
        <v>43</v>
      </c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99"/>
      <c r="V27" s="99"/>
      <c r="W27" s="100"/>
    </row>
    <row r="28" spans="2:24" x14ac:dyDescent="0.3">
      <c r="B28" s="83"/>
      <c r="C28" s="84"/>
      <c r="D28" s="84"/>
      <c r="E28" s="108"/>
      <c r="F28" s="84"/>
      <c r="G28" s="40"/>
      <c r="H28" s="40"/>
      <c r="I28" s="101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102"/>
    </row>
    <row r="29" spans="2:24" x14ac:dyDescent="0.3">
      <c r="B29" s="93" t="s">
        <v>41</v>
      </c>
      <c r="C29" s="84"/>
      <c r="D29" s="84"/>
      <c r="E29" s="106" t="s">
        <v>46</v>
      </c>
      <c r="F29" s="84"/>
      <c r="G29" s="51">
        <v>0</v>
      </c>
      <c r="H29" s="29" t="str">
        <f>DEC2HEX(G29,6)</f>
        <v>000000</v>
      </c>
      <c r="I29" s="96" t="str">
        <f>H29&amp;H30&amp;H31&amp;H32&amp;H33&amp;H34&amp;H35&amp;H36&amp;H37&amp;H38&amp;H39&amp;H40&amp;H41&amp;H42&amp;H43&amp;H44&amp;H45&amp;H46&amp;H47</f>
        <v>000000030000012C00000000015E00C80320019002BC012C00000000000000000000000001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6"/>
      <c r="V29" s="96"/>
      <c r="W29" s="97"/>
    </row>
    <row r="30" spans="2:24" x14ac:dyDescent="0.3">
      <c r="B30" s="93" t="s">
        <v>60</v>
      </c>
      <c r="C30" s="84"/>
      <c r="D30" s="84"/>
      <c r="E30" s="106" t="s">
        <v>45</v>
      </c>
      <c r="F30" s="84"/>
      <c r="G30" s="29">
        <v>3</v>
      </c>
      <c r="H30" s="29" t="str">
        <f>DEC2HEX(G30,2)</f>
        <v>03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7"/>
      <c r="U30" s="96"/>
      <c r="V30" s="96"/>
      <c r="W30" s="97"/>
    </row>
    <row r="31" spans="2:24" x14ac:dyDescent="0.3">
      <c r="B31" s="93" t="s">
        <v>41</v>
      </c>
      <c r="C31" s="84"/>
      <c r="D31" s="84"/>
      <c r="E31" s="106" t="s">
        <v>46</v>
      </c>
      <c r="F31" s="84"/>
      <c r="G31" s="29">
        <v>0</v>
      </c>
      <c r="H31" s="29" t="str">
        <f>DEC2HEX(G31,4)</f>
        <v>0000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2:24" x14ac:dyDescent="0.3">
      <c r="B32" s="93" t="s">
        <v>61</v>
      </c>
      <c r="C32" s="84"/>
      <c r="D32" s="84"/>
      <c r="E32" s="106" t="s">
        <v>44</v>
      </c>
      <c r="F32" s="84"/>
      <c r="G32" s="42">
        <v>5</v>
      </c>
      <c r="H32" s="29" t="str">
        <f>DEC2HEX(G32*60,4)</f>
        <v>012C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41</v>
      </c>
      <c r="C33" s="84"/>
      <c r="D33" s="84"/>
      <c r="E33" s="106" t="s">
        <v>46</v>
      </c>
      <c r="F33" s="84"/>
      <c r="G33" s="73">
        <v>0</v>
      </c>
      <c r="H33" s="29" t="str">
        <f t="shared" ref="H33:H46" si="2">DEC2HEX(G33,4)</f>
        <v>0000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41</v>
      </c>
      <c r="C34" s="84"/>
      <c r="D34" s="84"/>
      <c r="E34" s="106" t="s">
        <v>46</v>
      </c>
      <c r="F34" s="84"/>
      <c r="G34" s="73">
        <v>0</v>
      </c>
      <c r="H34" s="29" t="str">
        <f>DEC2HEX(G34*3600,4)</f>
        <v>0000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3" t="s">
        <v>48</v>
      </c>
      <c r="C35" s="84"/>
      <c r="D35" s="84"/>
      <c r="E35" s="106" t="s">
        <v>64</v>
      </c>
      <c r="F35" s="84"/>
      <c r="G35" s="43">
        <v>35</v>
      </c>
      <c r="H35" s="72" t="str">
        <f>IF(G35&lt;0,DEC2HEX(65536+(G35*10),4),DEC2HEX(G35*10,4))</f>
        <v>015E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3" t="s">
        <v>49</v>
      </c>
      <c r="C36" s="84"/>
      <c r="D36" s="84"/>
      <c r="E36" s="106" t="s">
        <v>65</v>
      </c>
      <c r="F36" s="84"/>
      <c r="G36" s="43">
        <v>20</v>
      </c>
      <c r="H36" s="72" t="str">
        <f>IF(G36&lt;0,DEC2HEX(65536+(G36*10),4),DEC2HEX(G36*10,4))</f>
        <v>00C8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3" t="s">
        <v>50</v>
      </c>
      <c r="C37" s="84"/>
      <c r="D37" s="84"/>
      <c r="E37" s="106" t="s">
        <v>66</v>
      </c>
      <c r="F37" s="84"/>
      <c r="G37" s="43">
        <v>80</v>
      </c>
      <c r="H37" s="29" t="str">
        <f>DEC2HEX(G37*10,4)</f>
        <v>0320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5" t="s">
        <v>51</v>
      </c>
      <c r="C38" s="84"/>
      <c r="D38" s="84"/>
      <c r="E38" s="107" t="s">
        <v>67</v>
      </c>
      <c r="F38" s="84"/>
      <c r="G38" s="43">
        <v>40</v>
      </c>
      <c r="H38" s="29" t="str">
        <f>DEC2HEX(G38*10,4)</f>
        <v>0190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52</v>
      </c>
      <c r="C39" s="84"/>
      <c r="D39" s="84"/>
      <c r="E39" s="106" t="s">
        <v>63</v>
      </c>
      <c r="F39" s="84"/>
      <c r="G39" s="42">
        <v>700</v>
      </c>
      <c r="H39" s="29" t="str">
        <f t="shared" si="2"/>
        <v>02BC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53</v>
      </c>
      <c r="C40" s="84"/>
      <c r="D40" s="84"/>
      <c r="E40" s="106" t="s">
        <v>68</v>
      </c>
      <c r="F40" s="84"/>
      <c r="G40" s="42">
        <v>300</v>
      </c>
      <c r="H40" s="29" t="str">
        <f t="shared" si="2"/>
        <v>012C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54</v>
      </c>
      <c r="C41" s="84"/>
      <c r="D41" s="84"/>
      <c r="E41" s="106" t="s">
        <v>46</v>
      </c>
      <c r="F41" s="84"/>
      <c r="G41" s="29">
        <v>0</v>
      </c>
      <c r="H41" s="29" t="str">
        <f t="shared" si="2"/>
        <v>0000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55</v>
      </c>
      <c r="C42" s="84"/>
      <c r="D42" s="84"/>
      <c r="E42" s="106" t="s">
        <v>46</v>
      </c>
      <c r="F42" s="84"/>
      <c r="G42" s="29">
        <v>0</v>
      </c>
      <c r="H42" s="29" t="str">
        <f t="shared" si="2"/>
        <v>0000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56</v>
      </c>
      <c r="C43" s="84"/>
      <c r="D43" s="84"/>
      <c r="E43" s="106" t="s">
        <v>46</v>
      </c>
      <c r="F43" s="84"/>
      <c r="G43" s="29">
        <v>0</v>
      </c>
      <c r="H43" s="29" t="str">
        <f t="shared" si="2"/>
        <v>0000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57</v>
      </c>
      <c r="C44" s="84"/>
      <c r="D44" s="84"/>
      <c r="E44" s="106" t="s">
        <v>46</v>
      </c>
      <c r="F44" s="84"/>
      <c r="G44" s="29">
        <v>0</v>
      </c>
      <c r="H44" s="29" t="str">
        <f t="shared" si="2"/>
        <v>0000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x14ac:dyDescent="0.3">
      <c r="B45" s="94" t="s">
        <v>58</v>
      </c>
      <c r="C45" s="84"/>
      <c r="D45" s="84"/>
      <c r="E45" s="106" t="s">
        <v>46</v>
      </c>
      <c r="F45" s="84"/>
      <c r="G45" s="29">
        <v>0</v>
      </c>
      <c r="H45" s="29" t="str">
        <f t="shared" si="2"/>
        <v>0000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</row>
    <row r="46" spans="2:23" x14ac:dyDescent="0.3">
      <c r="B46" s="94" t="s">
        <v>59</v>
      </c>
      <c r="C46" s="84"/>
      <c r="D46" s="84"/>
      <c r="E46" s="106" t="s">
        <v>46</v>
      </c>
      <c r="F46" s="84"/>
      <c r="G46" s="29">
        <v>0</v>
      </c>
      <c r="H46" s="29" t="str">
        <f t="shared" si="2"/>
        <v>0000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5"/>
    </row>
    <row r="47" spans="2:23" x14ac:dyDescent="0.3">
      <c r="B47" s="94" t="s">
        <v>41</v>
      </c>
      <c r="C47" s="84"/>
      <c r="D47" s="84"/>
      <c r="E47" s="106" t="s">
        <v>47</v>
      </c>
      <c r="F47" s="84"/>
      <c r="G47" s="29">
        <v>1</v>
      </c>
      <c r="H47" s="29" t="str">
        <f>DEC2HEX(G47,2)</f>
        <v>01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5"/>
    </row>
    <row r="48" spans="2:23" ht="15" thickBot="1" x14ac:dyDescent="0.35">
      <c r="B48" s="35"/>
      <c r="C48" s="36"/>
      <c r="D48" s="36"/>
      <c r="E48" s="37"/>
      <c r="F48" s="38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9"/>
    </row>
    <row r="49" ht="15" thickTop="1" x14ac:dyDescent="0.3"/>
  </sheetData>
  <mergeCells count="49">
    <mergeCell ref="B46:D46"/>
    <mergeCell ref="E46:F46"/>
    <mergeCell ref="B47:D47"/>
    <mergeCell ref="E47:F47"/>
    <mergeCell ref="B26:W26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28:D28"/>
    <mergeCell ref="E28:F28"/>
    <mergeCell ref="I28:W28"/>
    <mergeCell ref="B29:D29"/>
    <mergeCell ref="E29:F29"/>
    <mergeCell ref="I29:W30"/>
    <mergeCell ref="B30:D30"/>
    <mergeCell ref="E30:F30"/>
    <mergeCell ref="B2:E2"/>
    <mergeCell ref="B3:F3"/>
    <mergeCell ref="B27:D27"/>
    <mergeCell ref="E27:G27"/>
    <mergeCell ref="I27:W27"/>
    <mergeCell ref="U16:V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6C54E-9CCB-FC42-AB05-60EA1D4768D9}">
  <dimension ref="A1:X49"/>
  <sheetViews>
    <sheetView topLeftCell="A16" workbookViewId="0">
      <selection activeCell="E45" sqref="E45:F45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5.77734375" style="2" customWidth="1"/>
    <col min="5" max="5" width="13" style="1" customWidth="1"/>
    <col min="6" max="6" width="29" style="3" customWidth="1"/>
    <col min="7" max="7" width="10" style="2" customWidth="1"/>
    <col min="8" max="8" width="9.77734375" style="2" customWidth="1"/>
    <col min="9" max="16" width="7.77734375" style="2" customWidth="1"/>
    <col min="17" max="16384" width="10.77734375" style="2"/>
  </cols>
  <sheetData>
    <row r="1" spans="1:24" ht="15" thickBot="1" x14ac:dyDescent="0.35"/>
    <row r="2" spans="1:24" ht="18.600000000000001" thickTop="1" x14ac:dyDescent="0.35">
      <c r="B2" s="109" t="s">
        <v>39</v>
      </c>
      <c r="C2" s="110"/>
      <c r="D2" s="110"/>
      <c r="E2" s="110"/>
      <c r="F2" s="4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A3" s="4"/>
      <c r="B3" s="111" t="s">
        <v>94</v>
      </c>
      <c r="C3" s="112"/>
      <c r="D3" s="112"/>
      <c r="E3" s="112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x14ac:dyDescent="0.3">
      <c r="A4" s="4"/>
      <c r="B4" s="16"/>
      <c r="C4" s="14"/>
      <c r="D4" s="14"/>
      <c r="E4" s="17"/>
      <c r="F4" s="1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B5" s="19" t="s">
        <v>3</v>
      </c>
      <c r="C5" s="20" t="s">
        <v>2</v>
      </c>
      <c r="D5" s="21" t="s">
        <v>1</v>
      </c>
      <c r="E5" s="22" t="s">
        <v>40</v>
      </c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A6" s="4"/>
      <c r="B6" s="23">
        <v>1</v>
      </c>
      <c r="C6" s="24">
        <v>6</v>
      </c>
      <c r="D6" s="17" t="str">
        <f t="shared" ref="D6:D14" si="0">MID($B$3,B6,C6)</f>
        <v>000081</v>
      </c>
      <c r="E6" s="25">
        <f>HEX2DEC(D6)</f>
        <v>129</v>
      </c>
      <c r="F6" s="18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f t="shared" ref="B7:B14" si="1">B6+C6</f>
        <v>7</v>
      </c>
      <c r="C7" s="24">
        <v>2</v>
      </c>
      <c r="D7" s="17" t="str">
        <f t="shared" si="0"/>
        <v>06</v>
      </c>
      <c r="E7" s="25">
        <f>HEX2DEC(D7)</f>
        <v>6</v>
      </c>
      <c r="F7" s="18" t="s">
        <v>12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si="1"/>
        <v>9</v>
      </c>
      <c r="C8" s="24">
        <v>2</v>
      </c>
      <c r="D8" s="17" t="str">
        <f t="shared" si="0"/>
        <v>0E</v>
      </c>
      <c r="E8" s="25">
        <f>HEX2DEC(D8)</f>
        <v>14</v>
      </c>
      <c r="F8" s="18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1"/>
        <v>11</v>
      </c>
      <c r="C9" s="24">
        <v>2</v>
      </c>
      <c r="D9" s="17" t="str">
        <f t="shared" si="0"/>
        <v>11</v>
      </c>
      <c r="E9" s="26" t="str">
        <f>HEX2BIN(D9,8)</f>
        <v>00010001</v>
      </c>
      <c r="F9" s="27" t="s">
        <v>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1"/>
        <v>13</v>
      </c>
      <c r="C10" s="24">
        <v>4</v>
      </c>
      <c r="D10" s="17" t="str">
        <f t="shared" si="0"/>
        <v>00D3</v>
      </c>
      <c r="E10" s="7">
        <f>IF(LEFT(D10,1)&gt;="A",(HEX2DEC(D10)-65536)/10,HEX2DEC(D10)/10)</f>
        <v>21.1</v>
      </c>
      <c r="F10" s="18" t="s">
        <v>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1"/>
        <v>17</v>
      </c>
      <c r="C11" s="24">
        <v>4</v>
      </c>
      <c r="D11" s="17" t="str">
        <f t="shared" si="0"/>
        <v>0165</v>
      </c>
      <c r="E11" s="28">
        <f>HEX2DEC(D11)/10</f>
        <v>35.700000000000003</v>
      </c>
      <c r="F11" s="18" t="s">
        <v>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3">
      <c r="A12" s="4"/>
      <c r="B12" s="23">
        <f t="shared" si="1"/>
        <v>21</v>
      </c>
      <c r="C12" s="24">
        <v>4</v>
      </c>
      <c r="D12" s="17" t="str">
        <f t="shared" si="0"/>
        <v>00AD</v>
      </c>
      <c r="E12" s="25">
        <f>HEX2DEC(D12)</f>
        <v>173</v>
      </c>
      <c r="F12" s="18" t="s">
        <v>8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</row>
    <row r="13" spans="1:24" x14ac:dyDescent="0.3">
      <c r="A13" s="4"/>
      <c r="B13" s="23">
        <f t="shared" si="1"/>
        <v>25</v>
      </c>
      <c r="C13" s="24">
        <v>4</v>
      </c>
      <c r="D13" s="17" t="str">
        <f t="shared" si="0"/>
        <v>0261</v>
      </c>
      <c r="E13" s="25">
        <f>HEX2DEC(D13)</f>
        <v>609</v>
      </c>
      <c r="F13" s="18" t="s">
        <v>9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5"/>
    </row>
    <row r="14" spans="1:24" x14ac:dyDescent="0.3">
      <c r="A14" s="4"/>
      <c r="B14" s="23">
        <f t="shared" si="1"/>
        <v>29</v>
      </c>
      <c r="C14" s="24">
        <v>4</v>
      </c>
      <c r="D14" s="17" t="str">
        <f t="shared" si="0"/>
        <v>0080</v>
      </c>
      <c r="E14" s="25">
        <f>HEX2DEC(D14)</f>
        <v>128</v>
      </c>
      <c r="F14" s="18" t="s">
        <v>10</v>
      </c>
      <c r="G14" s="29" t="str">
        <f>HEX2BIN(MID(D14,1,2),8)</f>
        <v>00000000</v>
      </c>
      <c r="H14" s="29" t="str">
        <f>HEX2BIN(MID(D14,3,2),8)</f>
        <v>10000000</v>
      </c>
      <c r="I14" s="51">
        <f>IF((MID($G14,1,1)="0"),0,1)</f>
        <v>0</v>
      </c>
      <c r="J14" s="51">
        <f>IF((MID($G14,2,1)="0"),0,1)</f>
        <v>0</v>
      </c>
      <c r="K14" s="51">
        <f>IF((MID($G14,3,1)="0"),0,1)</f>
        <v>0</v>
      </c>
      <c r="L14" s="51">
        <f>IF((MID($G14,4,1)="0"),0,1)</f>
        <v>0</v>
      </c>
      <c r="M14" s="51">
        <f>IF((MID($G14,5,1)="0"),0,1)</f>
        <v>0</v>
      </c>
      <c r="N14" s="51">
        <f>IF((MID($G14,6,1)="0"),0,1)</f>
        <v>0</v>
      </c>
      <c r="O14" s="51">
        <f>IF((MID($G14,7,1)="0"),0,1)</f>
        <v>0</v>
      </c>
      <c r="P14" s="51">
        <f>IF((MID($G14,8,1)="0"),0,1)</f>
        <v>0</v>
      </c>
      <c r="Q14" s="31" t="str">
        <f>IF((MID($H14,1,1)="0"),"CO2 Lo OK","CO2 Lo Alm")</f>
        <v>CO2 Lo Alm</v>
      </c>
      <c r="R14" s="31" t="str">
        <f>IF((MID($H14,2,1)="0"),"CO2 Hi OK","CO2 Hi Alm")</f>
        <v>CO2 Hi OK</v>
      </c>
      <c r="S14" s="31" t="str">
        <f>IF((MID($H14,3,1)="0"),"VOC Lo OK","VOC Lo Alm")</f>
        <v>VOC Lo OK</v>
      </c>
      <c r="T14" s="31" t="str">
        <f>IF((MID($H14,4,1)="0"),"VOC Hi OK","VOC Hi Alm")</f>
        <v>VOC Hi OK</v>
      </c>
      <c r="U14" s="32" t="str">
        <f>IF((MID($H14,5,1)="0"),"Hum Lo OK","Hum Lo Alm")</f>
        <v>Hum Lo OK</v>
      </c>
      <c r="V14" s="32" t="str">
        <f>IF((MID($H14,6,1)="0"),"Hum Hi OK","Hum Hi Alm")</f>
        <v>Hum Hi OK</v>
      </c>
      <c r="W14" s="32" t="str">
        <f>IF((MID($H14,7,1)="0"),"Temp Lo OK","Temp Lo Alm")</f>
        <v>Temp Lo OK</v>
      </c>
      <c r="X14" s="45" t="str">
        <f>IF((MID($H14,8,1)="0"),"Temp Hi OK","Temp Hi Alm")</f>
        <v>Temp Hi OK</v>
      </c>
    </row>
    <row r="15" spans="1:24" x14ac:dyDescent="0.3">
      <c r="A15" s="4"/>
      <c r="B15" s="23">
        <f>B14+C14</f>
        <v>33</v>
      </c>
      <c r="C15" s="24">
        <v>4</v>
      </c>
      <c r="D15" s="17" t="str">
        <f>MID($B$3,B15,C15)</f>
        <v>0000</v>
      </c>
      <c r="E15" s="25">
        <f>HEX2DEC(D15)</f>
        <v>0</v>
      </c>
      <c r="F15" s="33" t="s">
        <v>0</v>
      </c>
      <c r="G15" s="29" t="str">
        <f>HEX2BIN(MID(D15,1,2),8)</f>
        <v>00000000</v>
      </c>
      <c r="H15" s="29" t="str">
        <f>HEX2BIN(MID(D15,3,2),8)</f>
        <v>00000000</v>
      </c>
      <c r="I15" s="51">
        <f>IF((MID($G15,1,1)="0"),0,1)</f>
        <v>0</v>
      </c>
      <c r="J15" s="51">
        <f>IF((MID($G15,2,1)="0"),0,1)</f>
        <v>0</v>
      </c>
      <c r="K15" s="51">
        <f>IF((MID($G15,3,1)="0"),0,1)</f>
        <v>0</v>
      </c>
      <c r="L15" s="51">
        <f>IF((MID($G15,4,1)="0"),0,1)</f>
        <v>0</v>
      </c>
      <c r="M15" s="51">
        <f>IF((MID($G15,5,1)="0"),0,1)</f>
        <v>0</v>
      </c>
      <c r="N15" s="51">
        <f>IF((MID($G15,6,1)="0"),0,1)</f>
        <v>0</v>
      </c>
      <c r="O15" s="51">
        <f>IF((MID($G15,7,1)="0"),0,1)</f>
        <v>0</v>
      </c>
      <c r="P15" s="51">
        <f>IF((MID($G15,8,1)="0"),0,1)</f>
        <v>0</v>
      </c>
      <c r="Q15" s="51">
        <f>IF((MID($H15,1,1)="0"),0,1)</f>
        <v>0</v>
      </c>
      <c r="R15" s="51">
        <f>IF((MID($H15,2,1)="0"),0,1)</f>
        <v>0</v>
      </c>
      <c r="S15" s="51">
        <f>IF((MID($H15,3,1)="0"),0,1)</f>
        <v>0</v>
      </c>
      <c r="T15" s="51">
        <f>IF((MID($H15,4,1)="0"),0,1)</f>
        <v>0</v>
      </c>
      <c r="U15" s="5">
        <f>IF((MID($H15,5,1)="0"),0,1)</f>
        <v>0</v>
      </c>
      <c r="V15" s="6">
        <f>IF((MID($H15,6,1)="0"),0,1)</f>
        <v>0</v>
      </c>
      <c r="W15" s="32">
        <f>IF((MID($H15,7,1)="0"),0,1)</f>
        <v>0</v>
      </c>
      <c r="X15" s="45" t="str">
        <f>IF((MID($H15,8,1)="0"),"Normal","Alarm")</f>
        <v>Normal</v>
      </c>
    </row>
    <row r="16" spans="1:24" ht="15" customHeight="1" x14ac:dyDescent="0.3">
      <c r="A16" s="4"/>
      <c r="B16" s="23"/>
      <c r="C16" s="24"/>
      <c r="D16" s="17"/>
      <c r="E16" s="28"/>
      <c r="F16" s="1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8" t="s">
        <v>155</v>
      </c>
      <c r="V16" s="89"/>
      <c r="W16" s="67"/>
      <c r="X16" s="68"/>
    </row>
    <row r="17" spans="2:24" x14ac:dyDescent="0.3">
      <c r="B17" s="34"/>
      <c r="C17" s="14"/>
      <c r="D17" s="14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0"/>
      <c r="V17" s="89"/>
      <c r="W17" s="67"/>
      <c r="X17" s="68"/>
    </row>
    <row r="18" spans="2:24" x14ac:dyDescent="0.3">
      <c r="B18" s="34"/>
      <c r="C18" s="14"/>
      <c r="D18" s="14"/>
      <c r="E18" s="28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0"/>
      <c r="V18" s="89"/>
      <c r="W18" s="67"/>
      <c r="X18" s="68"/>
    </row>
    <row r="19" spans="2:24" x14ac:dyDescent="0.3">
      <c r="B19" s="34"/>
      <c r="C19" s="14"/>
      <c r="D19" s="14"/>
      <c r="E19" s="28"/>
      <c r="F19" s="1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90"/>
      <c r="V19" s="89"/>
      <c r="W19" s="67"/>
      <c r="X19" s="68"/>
    </row>
    <row r="20" spans="2:24" x14ac:dyDescent="0.3">
      <c r="B20" s="34"/>
      <c r="C20" s="14"/>
      <c r="D20" s="14"/>
      <c r="E20" s="17"/>
      <c r="F20" s="18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90"/>
      <c r="V20" s="89"/>
      <c r="W20" s="67"/>
      <c r="X20" s="68"/>
    </row>
    <row r="21" spans="2:24" x14ac:dyDescent="0.3">
      <c r="B21" s="34"/>
      <c r="C21" s="14"/>
      <c r="D21" s="14"/>
      <c r="E21" s="17"/>
      <c r="F21" s="18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91"/>
      <c r="V21" s="92"/>
      <c r="W21" s="67"/>
      <c r="X21" s="68"/>
    </row>
    <row r="22" spans="2:24" ht="15" thickBot="1" x14ac:dyDescent="0.35">
      <c r="B22" s="35"/>
      <c r="C22" s="36"/>
      <c r="D22" s="36"/>
      <c r="E22" s="37"/>
      <c r="F22" s="38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9"/>
    </row>
    <row r="23" spans="2:24" ht="15" thickTop="1" x14ac:dyDescent="0.3"/>
    <row r="25" spans="2:24" ht="15" thickBot="1" x14ac:dyDescent="0.35"/>
    <row r="26" spans="2:24" ht="27" thickTop="1" thickBot="1" x14ac:dyDescent="0.55000000000000004">
      <c r="B26" s="85" t="s">
        <v>92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</row>
    <row r="27" spans="2:24" ht="39" customHeight="1" thickTop="1" x14ac:dyDescent="0.35">
      <c r="B27" s="81" t="s">
        <v>93</v>
      </c>
      <c r="C27" s="82"/>
      <c r="D27" s="82"/>
      <c r="E27" s="103" t="s">
        <v>62</v>
      </c>
      <c r="F27" s="104"/>
      <c r="G27" s="105"/>
      <c r="H27" s="41" t="s">
        <v>42</v>
      </c>
      <c r="I27" s="98" t="s">
        <v>43</v>
      </c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99"/>
      <c r="V27" s="99"/>
      <c r="W27" s="100"/>
    </row>
    <row r="28" spans="2:24" x14ac:dyDescent="0.3">
      <c r="B28" s="83"/>
      <c r="C28" s="84"/>
      <c r="D28" s="84"/>
      <c r="E28" s="108"/>
      <c r="F28" s="84"/>
      <c r="G28" s="40"/>
      <c r="H28" s="40"/>
      <c r="I28" s="101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102"/>
    </row>
    <row r="29" spans="2:24" x14ac:dyDescent="0.3">
      <c r="B29" s="93" t="s">
        <v>41</v>
      </c>
      <c r="C29" s="84"/>
      <c r="D29" s="84"/>
      <c r="E29" s="106" t="s">
        <v>46</v>
      </c>
      <c r="F29" s="84"/>
      <c r="G29" s="51">
        <v>0</v>
      </c>
      <c r="H29" s="29" t="str">
        <f>DEC2HEX(G29,6)</f>
        <v>000000</v>
      </c>
      <c r="I29" s="96" t="str">
        <f>H29&amp;H30&amp;H31&amp;H32&amp;H33&amp;H34&amp;H35&amp;H36&amp;H37&amp;H38&amp;H39&amp;H40&amp;H41&amp;H42&amp;H43&amp;H44&amp;H45&amp;H46&amp;H47</f>
        <v>000000030000012C00000000012C009601F400C800C80032028A00FA000000000000000001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6"/>
      <c r="V29" s="96"/>
      <c r="W29" s="97"/>
    </row>
    <row r="30" spans="2:24" x14ac:dyDescent="0.3">
      <c r="B30" s="93" t="s">
        <v>60</v>
      </c>
      <c r="C30" s="84"/>
      <c r="D30" s="84"/>
      <c r="E30" s="106" t="s">
        <v>45</v>
      </c>
      <c r="F30" s="84"/>
      <c r="G30" s="29">
        <v>3</v>
      </c>
      <c r="H30" s="29" t="str">
        <f>DEC2HEX(G30,2)</f>
        <v>03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7"/>
      <c r="U30" s="96"/>
      <c r="V30" s="96"/>
      <c r="W30" s="97"/>
    </row>
    <row r="31" spans="2:24" x14ac:dyDescent="0.3">
      <c r="B31" s="93" t="s">
        <v>41</v>
      </c>
      <c r="C31" s="84"/>
      <c r="D31" s="84"/>
      <c r="E31" s="106" t="s">
        <v>46</v>
      </c>
      <c r="F31" s="84"/>
      <c r="G31" s="29">
        <v>0</v>
      </c>
      <c r="H31" s="29" t="str">
        <f>DEC2HEX(G31,4)</f>
        <v>0000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2:24" x14ac:dyDescent="0.3">
      <c r="B32" s="93" t="s">
        <v>61</v>
      </c>
      <c r="C32" s="84"/>
      <c r="D32" s="84"/>
      <c r="E32" s="106" t="s">
        <v>44</v>
      </c>
      <c r="F32" s="84"/>
      <c r="G32" s="42">
        <v>5</v>
      </c>
      <c r="H32" s="29" t="str">
        <f>DEC2HEX(G32*60,4)</f>
        <v>012C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41</v>
      </c>
      <c r="C33" s="84"/>
      <c r="D33" s="84"/>
      <c r="E33" s="106" t="s">
        <v>46</v>
      </c>
      <c r="F33" s="84"/>
      <c r="G33" s="73">
        <v>0</v>
      </c>
      <c r="H33" s="29" t="str">
        <f t="shared" ref="H33:H46" si="2">DEC2HEX(G33,4)</f>
        <v>0000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41</v>
      </c>
      <c r="C34" s="84"/>
      <c r="D34" s="84"/>
      <c r="E34" s="106" t="s">
        <v>46</v>
      </c>
      <c r="F34" s="84"/>
      <c r="G34" s="73">
        <v>0</v>
      </c>
      <c r="H34" s="29" t="str">
        <f>DEC2HEX(G34*3600,4)</f>
        <v>0000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3" t="s">
        <v>48</v>
      </c>
      <c r="C35" s="84"/>
      <c r="D35" s="84"/>
      <c r="E35" s="106" t="s">
        <v>64</v>
      </c>
      <c r="F35" s="84"/>
      <c r="G35" s="43">
        <v>30</v>
      </c>
      <c r="H35" s="72" t="str">
        <f>IF(G35&lt;0,DEC2HEX(65536+(G35*10),4),DEC2HEX(G35*10,4))</f>
        <v>012C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3" t="s">
        <v>49</v>
      </c>
      <c r="C36" s="84"/>
      <c r="D36" s="84"/>
      <c r="E36" s="106" t="s">
        <v>65</v>
      </c>
      <c r="F36" s="84"/>
      <c r="G36" s="43">
        <v>15</v>
      </c>
      <c r="H36" s="72" t="str">
        <f>IF(G36&lt;0,DEC2HEX(65536+(G36*10),4),DEC2HEX(G36*10,4))</f>
        <v>0096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3" t="s">
        <v>50</v>
      </c>
      <c r="C37" s="84"/>
      <c r="D37" s="84"/>
      <c r="E37" s="106" t="s">
        <v>66</v>
      </c>
      <c r="F37" s="84"/>
      <c r="G37" s="43">
        <v>50</v>
      </c>
      <c r="H37" s="29" t="str">
        <f>DEC2HEX(G37*10,4)</f>
        <v>01F4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5" t="s">
        <v>51</v>
      </c>
      <c r="C38" s="84"/>
      <c r="D38" s="84"/>
      <c r="E38" s="107" t="s">
        <v>67</v>
      </c>
      <c r="F38" s="84"/>
      <c r="G38" s="43">
        <v>20</v>
      </c>
      <c r="H38" s="29" t="str">
        <f>DEC2HEX(G38*10,4)</f>
        <v>00C8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52</v>
      </c>
      <c r="C39" s="84"/>
      <c r="D39" s="84"/>
      <c r="E39" s="106" t="s">
        <v>63</v>
      </c>
      <c r="F39" s="84"/>
      <c r="G39" s="42">
        <v>200</v>
      </c>
      <c r="H39" s="29" t="str">
        <f t="shared" si="2"/>
        <v>00C8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53</v>
      </c>
      <c r="C40" s="84"/>
      <c r="D40" s="84"/>
      <c r="E40" s="106" t="s">
        <v>68</v>
      </c>
      <c r="F40" s="84"/>
      <c r="G40" s="42">
        <v>50</v>
      </c>
      <c r="H40" s="29" t="str">
        <f t="shared" si="2"/>
        <v>0032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54</v>
      </c>
      <c r="C41" s="84"/>
      <c r="D41" s="84"/>
      <c r="E41" s="106" t="s">
        <v>69</v>
      </c>
      <c r="F41" s="84"/>
      <c r="G41" s="42">
        <v>650</v>
      </c>
      <c r="H41" s="29" t="str">
        <f t="shared" si="2"/>
        <v>028A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55</v>
      </c>
      <c r="C42" s="84"/>
      <c r="D42" s="84"/>
      <c r="E42" s="106" t="s">
        <v>70</v>
      </c>
      <c r="F42" s="84"/>
      <c r="G42" s="42">
        <v>250</v>
      </c>
      <c r="H42" s="29" t="str">
        <f t="shared" si="2"/>
        <v>00FA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56</v>
      </c>
      <c r="C43" s="84"/>
      <c r="D43" s="84"/>
      <c r="E43" s="106" t="s">
        <v>46</v>
      </c>
      <c r="F43" s="84"/>
      <c r="G43" s="29">
        <v>0</v>
      </c>
      <c r="H43" s="29" t="str">
        <f t="shared" si="2"/>
        <v>0000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57</v>
      </c>
      <c r="C44" s="84"/>
      <c r="D44" s="84"/>
      <c r="E44" s="106" t="s">
        <v>46</v>
      </c>
      <c r="F44" s="84"/>
      <c r="G44" s="29">
        <v>0</v>
      </c>
      <c r="H44" s="29" t="str">
        <f t="shared" si="2"/>
        <v>0000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x14ac:dyDescent="0.3">
      <c r="B45" s="94" t="s">
        <v>58</v>
      </c>
      <c r="C45" s="84"/>
      <c r="D45" s="84"/>
      <c r="E45" s="106" t="s">
        <v>46</v>
      </c>
      <c r="F45" s="84"/>
      <c r="G45" s="29">
        <v>0</v>
      </c>
      <c r="H45" s="29" t="str">
        <f t="shared" si="2"/>
        <v>0000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</row>
    <row r="46" spans="2:23" x14ac:dyDescent="0.3">
      <c r="B46" s="94" t="s">
        <v>59</v>
      </c>
      <c r="C46" s="84"/>
      <c r="D46" s="84"/>
      <c r="E46" s="106" t="s">
        <v>46</v>
      </c>
      <c r="F46" s="84"/>
      <c r="G46" s="29">
        <v>0</v>
      </c>
      <c r="H46" s="29" t="str">
        <f t="shared" si="2"/>
        <v>0000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5"/>
    </row>
    <row r="47" spans="2:23" x14ac:dyDescent="0.3">
      <c r="B47" s="94" t="s">
        <v>41</v>
      </c>
      <c r="C47" s="84"/>
      <c r="D47" s="84"/>
      <c r="E47" s="106" t="s">
        <v>47</v>
      </c>
      <c r="F47" s="84"/>
      <c r="G47" s="29">
        <v>1</v>
      </c>
      <c r="H47" s="29" t="str">
        <f>DEC2HEX(G47,2)</f>
        <v>01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5"/>
    </row>
    <row r="48" spans="2:23" ht="15" thickBot="1" x14ac:dyDescent="0.35">
      <c r="B48" s="35"/>
      <c r="C48" s="36"/>
      <c r="D48" s="36"/>
      <c r="E48" s="37"/>
      <c r="F48" s="38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9"/>
    </row>
    <row r="49" ht="15" thickTop="1" x14ac:dyDescent="0.3"/>
  </sheetData>
  <mergeCells count="49">
    <mergeCell ref="B46:D46"/>
    <mergeCell ref="E46:F46"/>
    <mergeCell ref="B47:D47"/>
    <mergeCell ref="E47:F47"/>
    <mergeCell ref="B26:W26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28:D28"/>
    <mergeCell ref="E28:F28"/>
    <mergeCell ref="I28:W28"/>
    <mergeCell ref="B29:D29"/>
    <mergeCell ref="E29:F29"/>
    <mergeCell ref="I29:W30"/>
    <mergeCell ref="B30:D30"/>
    <mergeCell ref="E30:F30"/>
    <mergeCell ref="B2:E2"/>
    <mergeCell ref="B3:F3"/>
    <mergeCell ref="B27:D27"/>
    <mergeCell ref="E27:G27"/>
    <mergeCell ref="I27:W27"/>
    <mergeCell ref="U16:V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9049-D691-FD41-823F-F11E666E5470}">
  <dimension ref="A1:X47"/>
  <sheetViews>
    <sheetView topLeftCell="A13" workbookViewId="0">
      <selection activeCell="B31" sqref="B31:G31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4" style="2" customWidth="1"/>
    <col min="5" max="5" width="13" style="1" customWidth="1"/>
    <col min="6" max="6" width="25.77734375" style="3" customWidth="1"/>
    <col min="7" max="7" width="9" style="2" customWidth="1"/>
    <col min="8" max="8" width="9.33203125" style="2" customWidth="1"/>
    <col min="9" max="22" width="7.77734375" style="2" customWidth="1"/>
    <col min="23" max="16384" width="10.77734375" style="2"/>
  </cols>
  <sheetData>
    <row r="1" spans="1:24" ht="15" thickBot="1" x14ac:dyDescent="0.35"/>
    <row r="2" spans="1:24" ht="18.600000000000001" thickTop="1" x14ac:dyDescent="0.35">
      <c r="B2" s="109" t="s">
        <v>39</v>
      </c>
      <c r="C2" s="110"/>
      <c r="D2" s="110"/>
      <c r="E2" s="110"/>
      <c r="F2" s="4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A3" s="4"/>
      <c r="B3" s="111" t="s">
        <v>28</v>
      </c>
      <c r="C3" s="112"/>
      <c r="D3" s="112"/>
      <c r="E3" s="112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x14ac:dyDescent="0.3">
      <c r="A4" s="4"/>
      <c r="B4" s="16"/>
      <c r="C4" s="14"/>
      <c r="D4" s="14"/>
      <c r="E4" s="17"/>
      <c r="F4" s="1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B5" s="19" t="s">
        <v>3</v>
      </c>
      <c r="C5" s="20" t="s">
        <v>2</v>
      </c>
      <c r="D5" s="21" t="s">
        <v>1</v>
      </c>
      <c r="E5" s="22" t="s">
        <v>40</v>
      </c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A6" s="4"/>
      <c r="B6" s="23">
        <v>1</v>
      </c>
      <c r="C6" s="24">
        <v>6</v>
      </c>
      <c r="D6" s="17" t="str">
        <f t="shared" ref="D6:D13" si="0">MID($B$3,B6,C6)</f>
        <v>00008A</v>
      </c>
      <c r="E6" s="25">
        <f>HEX2DEC(D6)</f>
        <v>138</v>
      </c>
      <c r="F6" s="18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f t="shared" ref="B7:B13" si="1">B6+C6</f>
        <v>7</v>
      </c>
      <c r="C7" s="24">
        <v>2</v>
      </c>
      <c r="D7" s="17" t="str">
        <f t="shared" si="0"/>
        <v>07</v>
      </c>
      <c r="E7" s="25">
        <f>HEX2DEC(D7)</f>
        <v>7</v>
      </c>
      <c r="F7" s="18" t="s">
        <v>13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si="1"/>
        <v>9</v>
      </c>
      <c r="C8" s="24">
        <v>2</v>
      </c>
      <c r="D8" s="17" t="str">
        <f t="shared" si="0"/>
        <v>07</v>
      </c>
      <c r="E8" s="25">
        <f>HEX2DEC(D8)</f>
        <v>7</v>
      </c>
      <c r="F8" s="18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1"/>
        <v>11</v>
      </c>
      <c r="C9" s="24">
        <v>2</v>
      </c>
      <c r="D9" s="17" t="str">
        <f t="shared" si="0"/>
        <v>01</v>
      </c>
      <c r="E9" s="26" t="str">
        <f>HEX2BIN(D9,8)</f>
        <v>00000001</v>
      </c>
      <c r="F9" s="27" t="s">
        <v>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1"/>
        <v>13</v>
      </c>
      <c r="C10" s="24">
        <v>4</v>
      </c>
      <c r="D10" s="17" t="str">
        <f t="shared" si="0"/>
        <v>00CD</v>
      </c>
      <c r="E10" s="7">
        <f>IF(LEFT(D10,1)&gt;="A",(HEX2DEC(D10)-65536)/10,HEX2DEC(D10)/10)</f>
        <v>20.5</v>
      </c>
      <c r="F10" s="18" t="s">
        <v>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1"/>
        <v>17</v>
      </c>
      <c r="C11" s="24">
        <v>4</v>
      </c>
      <c r="D11" s="17" t="str">
        <f t="shared" si="0"/>
        <v>0000</v>
      </c>
      <c r="E11" s="7">
        <f>IF(LEFT(D11,1)&gt;="A",(HEX2DEC(D11)-65536)/10,HEX2DEC(D11)/10)</f>
        <v>0</v>
      </c>
      <c r="F11" s="18" t="s">
        <v>14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3">
      <c r="A12" s="4"/>
      <c r="B12" s="23">
        <f t="shared" si="1"/>
        <v>21</v>
      </c>
      <c r="C12" s="24">
        <v>4</v>
      </c>
      <c r="D12" s="17" t="str">
        <f t="shared" si="0"/>
        <v>0002</v>
      </c>
      <c r="E12" s="25">
        <f>HEX2DEC(D12)</f>
        <v>2</v>
      </c>
      <c r="F12" s="18" t="s">
        <v>10</v>
      </c>
      <c r="G12" s="29" t="str">
        <f>HEX2BIN(MID(D12,1,2),8)</f>
        <v>00000000</v>
      </c>
      <c r="H12" s="29" t="str">
        <f>HEX2BIN(MID(D12,3,2),8)</f>
        <v>00000010</v>
      </c>
      <c r="I12" s="51">
        <f>IF((MID($G12,1,1)="0"),0,1)</f>
        <v>0</v>
      </c>
      <c r="J12" s="51">
        <f>IF((MID($G12,2,1)="0"),0,1)</f>
        <v>0</v>
      </c>
      <c r="K12" s="51">
        <f>IF((MID($G12,3,1)="0"),0,1)</f>
        <v>0</v>
      </c>
      <c r="L12" s="51">
        <f>IF((MID($G12,4,1)="0"),0,1)</f>
        <v>0</v>
      </c>
      <c r="M12" s="51">
        <f>IF((MID($G12,5,1)="0"),0,1)</f>
        <v>0</v>
      </c>
      <c r="N12" s="51">
        <f>IF((MID($G12,6,1)="0"),0,1)</f>
        <v>0</v>
      </c>
      <c r="O12" s="51">
        <f>IF((MID($G12,7,1)="0"),0,1)</f>
        <v>0</v>
      </c>
      <c r="P12" s="51">
        <f>IF((MID($G12,8,1)="0"),0,1)</f>
        <v>0</v>
      </c>
      <c r="Q12" s="51">
        <f>IF((MID($H12,1,1)="0"),0,1)</f>
        <v>0</v>
      </c>
      <c r="R12" s="51">
        <f>IF((MID($H12,2,1)="0"),0,1)</f>
        <v>0</v>
      </c>
      <c r="S12" s="51">
        <f>IF((MID($H12,3,1)="0"),0,1)</f>
        <v>0</v>
      </c>
      <c r="T12" s="51">
        <f>IF((MID($H12,4,1)="0"),0,1)</f>
        <v>0</v>
      </c>
      <c r="U12" s="51">
        <f>IF((MID($H12,5,1)="0"),0,1)</f>
        <v>0</v>
      </c>
      <c r="V12" s="51">
        <f>IF((MID($H12,6,1)="0"),0,1)</f>
        <v>0</v>
      </c>
      <c r="W12" s="32" t="str">
        <f>IF((MID($H12,7,1)="0"),"Temp Lo OK","Temp Lo Alm")</f>
        <v>Temp Lo Alm</v>
      </c>
      <c r="X12" s="45" t="str">
        <f>IF((MID($H12,8,1)="0"),"Temp Hi OK","Temp Hi Alm")</f>
        <v>Temp Hi OK</v>
      </c>
    </row>
    <row r="13" spans="1:24" x14ac:dyDescent="0.3">
      <c r="A13" s="4"/>
      <c r="B13" s="23">
        <f t="shared" si="1"/>
        <v>25</v>
      </c>
      <c r="C13" s="24">
        <v>4</v>
      </c>
      <c r="D13" s="17" t="str">
        <f t="shared" si="0"/>
        <v>0000</v>
      </c>
      <c r="E13" s="25">
        <f>HEX2DEC(D13)</f>
        <v>0</v>
      </c>
      <c r="F13" s="33" t="s">
        <v>0</v>
      </c>
      <c r="G13" s="29" t="str">
        <f>HEX2BIN(MID(D13,1,2),8)</f>
        <v>00000000</v>
      </c>
      <c r="H13" s="29" t="str">
        <f>HEX2BIN(MID(D13,3,2),8)</f>
        <v>00000000</v>
      </c>
      <c r="I13" s="51">
        <f>IF((MID($G13,1,1)="0"),0,1)</f>
        <v>0</v>
      </c>
      <c r="J13" s="51">
        <f>IF((MID($G13,2,1)="0"),0,1)</f>
        <v>0</v>
      </c>
      <c r="K13" s="51">
        <f>IF((MID($G13,3,1)="0"),0,1)</f>
        <v>0</v>
      </c>
      <c r="L13" s="51">
        <f>IF((MID($G13,4,1)="0"),0,1)</f>
        <v>0</v>
      </c>
      <c r="M13" s="51">
        <f>IF((MID($G13,5,1)="0"),0,1)</f>
        <v>0</v>
      </c>
      <c r="N13" s="51">
        <f>IF((MID($G13,6,1)="0"),0,1)</f>
        <v>0</v>
      </c>
      <c r="O13" s="51">
        <f>IF((MID($G13,7,1)="0"),0,1)</f>
        <v>0</v>
      </c>
      <c r="P13" s="51">
        <f>IF((MID($G13,8,1)="0"),0,1)</f>
        <v>0</v>
      </c>
      <c r="Q13" s="51">
        <f>IF((MID($H13,1,1)="0"),0,1)</f>
        <v>0</v>
      </c>
      <c r="R13" s="51">
        <f>IF((MID($H13,2,1)="0"),0,1)</f>
        <v>0</v>
      </c>
      <c r="S13" s="51">
        <f>IF((MID($H13,3,1)="0"),0,1)</f>
        <v>0</v>
      </c>
      <c r="T13" s="51">
        <f>IF((MID($H13,4,1)="0"),0,1)</f>
        <v>0</v>
      </c>
      <c r="U13" s="5">
        <f>IF((MID($H13,5,1)="0"),0,1)</f>
        <v>0</v>
      </c>
      <c r="V13" s="6">
        <f>IF((MID($H13,6,1)="0"),0,1)</f>
        <v>0</v>
      </c>
      <c r="W13" s="32">
        <f>IF((MID($H13,7,1)="0"),0,1)</f>
        <v>0</v>
      </c>
      <c r="X13" s="45" t="str">
        <f>IF((MID($H13,8,1)="0"),"Normal","Alarm")</f>
        <v>Normal</v>
      </c>
    </row>
    <row r="14" spans="1:24" ht="15" customHeight="1" x14ac:dyDescent="0.3">
      <c r="A14" s="4"/>
      <c r="B14" s="23"/>
      <c r="C14" s="24"/>
      <c r="D14" s="17"/>
      <c r="E14" s="28"/>
      <c r="F14" s="1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8" t="s">
        <v>155</v>
      </c>
      <c r="V14" s="89"/>
      <c r="W14" s="67"/>
      <c r="X14" s="68"/>
    </row>
    <row r="15" spans="1:24" x14ac:dyDescent="0.3">
      <c r="B15" s="34"/>
      <c r="C15" s="14"/>
      <c r="D15" s="14"/>
      <c r="E15" s="28"/>
      <c r="F15" s="1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90"/>
      <c r="V15" s="89"/>
      <c r="W15" s="67"/>
      <c r="X15" s="68"/>
    </row>
    <row r="16" spans="1:24" x14ac:dyDescent="0.3">
      <c r="B16" s="34"/>
      <c r="C16" s="14"/>
      <c r="D16" s="14"/>
      <c r="E16" s="28"/>
      <c r="F16" s="1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90"/>
      <c r="V16" s="89"/>
      <c r="W16" s="67"/>
      <c r="X16" s="68"/>
    </row>
    <row r="17" spans="2:24" x14ac:dyDescent="0.3">
      <c r="B17" s="34"/>
      <c r="C17" s="14"/>
      <c r="D17" s="14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0"/>
      <c r="V17" s="89"/>
      <c r="W17" s="67"/>
      <c r="X17" s="68"/>
    </row>
    <row r="18" spans="2:24" x14ac:dyDescent="0.3">
      <c r="B18" s="34"/>
      <c r="C18" s="14"/>
      <c r="D18" s="14"/>
      <c r="E18" s="17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0"/>
      <c r="V18" s="89"/>
      <c r="W18" s="67"/>
      <c r="X18" s="68"/>
    </row>
    <row r="19" spans="2:24" x14ac:dyDescent="0.3">
      <c r="B19" s="34"/>
      <c r="C19" s="14"/>
      <c r="D19" s="14"/>
      <c r="E19" s="17"/>
      <c r="F19" s="1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91"/>
      <c r="V19" s="92"/>
      <c r="W19" s="67"/>
      <c r="X19" s="68"/>
    </row>
    <row r="20" spans="2:24" ht="15" thickBot="1" x14ac:dyDescent="0.35">
      <c r="B20" s="35"/>
      <c r="C20" s="36"/>
      <c r="D20" s="36"/>
      <c r="E20" s="37"/>
      <c r="F20" s="38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9"/>
    </row>
    <row r="21" spans="2:24" ht="15" thickTop="1" x14ac:dyDescent="0.3"/>
    <row r="23" spans="2:24" ht="15" thickBot="1" x14ac:dyDescent="0.35"/>
    <row r="24" spans="2:24" ht="27" thickTop="1" thickBot="1" x14ac:dyDescent="0.55000000000000004">
      <c r="B24" s="85" t="s">
        <v>92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7"/>
    </row>
    <row r="25" spans="2:24" ht="40.950000000000003" customHeight="1" thickTop="1" x14ac:dyDescent="0.35">
      <c r="B25" s="81" t="s">
        <v>93</v>
      </c>
      <c r="C25" s="82"/>
      <c r="D25" s="82"/>
      <c r="E25" s="103" t="s">
        <v>62</v>
      </c>
      <c r="F25" s="104"/>
      <c r="G25" s="105"/>
      <c r="H25" s="41" t="s">
        <v>42</v>
      </c>
      <c r="I25" s="98" t="s">
        <v>43</v>
      </c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99"/>
      <c r="V25" s="99"/>
      <c r="W25" s="100"/>
    </row>
    <row r="26" spans="2:24" x14ac:dyDescent="0.3">
      <c r="B26" s="83"/>
      <c r="C26" s="84"/>
      <c r="D26" s="84"/>
      <c r="E26" s="108"/>
      <c r="F26" s="84"/>
      <c r="G26" s="40"/>
      <c r="H26" s="40"/>
      <c r="I26" s="101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102"/>
    </row>
    <row r="27" spans="2:24" x14ac:dyDescent="0.3">
      <c r="B27" s="93" t="s">
        <v>41</v>
      </c>
      <c r="C27" s="84"/>
      <c r="D27" s="84"/>
      <c r="E27" s="106" t="s">
        <v>46</v>
      </c>
      <c r="F27" s="84"/>
      <c r="G27" s="51">
        <v>0</v>
      </c>
      <c r="H27" s="29" t="str">
        <f>DEC2HEX(G27,6)</f>
        <v>000000</v>
      </c>
      <c r="I27" s="96" t="str">
        <f>H27&amp;H28&amp;H29&amp;H30&amp;H31&amp;H32&amp;H33&amp;H34&amp;H35&amp;H36&amp;H37&amp;H38&amp;H39&amp;H40&amp;H41&amp;H42&amp;H43&amp;H44&amp;H45</f>
        <v>000000030000012C00000000015E00C8000000000000000000000000000000000000000001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  <c r="U27" s="96"/>
      <c r="V27" s="96"/>
      <c r="W27" s="97"/>
    </row>
    <row r="28" spans="2:24" x14ac:dyDescent="0.3">
      <c r="B28" s="93" t="s">
        <v>60</v>
      </c>
      <c r="C28" s="84"/>
      <c r="D28" s="84"/>
      <c r="E28" s="106" t="s">
        <v>45</v>
      </c>
      <c r="F28" s="84"/>
      <c r="G28" s="29">
        <v>3</v>
      </c>
      <c r="H28" s="29" t="str">
        <f>DEC2HEX(G28,2)</f>
        <v>03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6"/>
      <c r="V28" s="96"/>
      <c r="W28" s="97"/>
    </row>
    <row r="29" spans="2:24" x14ac:dyDescent="0.3">
      <c r="B29" s="93" t="s">
        <v>41</v>
      </c>
      <c r="C29" s="84"/>
      <c r="D29" s="84"/>
      <c r="E29" s="106" t="s">
        <v>46</v>
      </c>
      <c r="F29" s="84"/>
      <c r="G29" s="29">
        <v>0</v>
      </c>
      <c r="H29" s="29" t="str">
        <f>DEC2HEX(G29,4)</f>
        <v>0000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5"/>
    </row>
    <row r="30" spans="2:24" x14ac:dyDescent="0.3">
      <c r="B30" s="93" t="s">
        <v>61</v>
      </c>
      <c r="C30" s="84"/>
      <c r="D30" s="84"/>
      <c r="E30" s="106" t="s">
        <v>44</v>
      </c>
      <c r="F30" s="84"/>
      <c r="G30" s="42">
        <v>5</v>
      </c>
      <c r="H30" s="29" t="str">
        <f>DEC2HEX(G30*60,4)</f>
        <v>012C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2:24" x14ac:dyDescent="0.3">
      <c r="B31" s="93" t="s">
        <v>41</v>
      </c>
      <c r="C31" s="84"/>
      <c r="D31" s="84"/>
      <c r="E31" s="106" t="s">
        <v>46</v>
      </c>
      <c r="F31" s="84"/>
      <c r="G31" s="73">
        <v>0</v>
      </c>
      <c r="H31" s="29" t="str">
        <f t="shared" ref="H31:H44" si="2">DEC2HEX(G31,4)</f>
        <v>0000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2:24" x14ac:dyDescent="0.3">
      <c r="B32" s="93" t="s">
        <v>41</v>
      </c>
      <c r="C32" s="84"/>
      <c r="D32" s="84"/>
      <c r="E32" s="106" t="s">
        <v>46</v>
      </c>
      <c r="F32" s="84"/>
      <c r="G32" s="73">
        <v>0</v>
      </c>
      <c r="H32" s="29" t="str">
        <f>DEC2HEX(G32*3600,4)</f>
        <v>0000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48</v>
      </c>
      <c r="C33" s="84"/>
      <c r="D33" s="84"/>
      <c r="E33" s="106" t="s">
        <v>64</v>
      </c>
      <c r="F33" s="84"/>
      <c r="G33" s="43">
        <v>35</v>
      </c>
      <c r="H33" s="72" t="str">
        <f>IF(G33&lt;0,DEC2HEX(65536+(G33*10),4),DEC2HEX(G33*10,4))</f>
        <v>015E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49</v>
      </c>
      <c r="C34" s="84"/>
      <c r="D34" s="84"/>
      <c r="E34" s="106" t="s">
        <v>65</v>
      </c>
      <c r="F34" s="84"/>
      <c r="G34" s="43">
        <v>20</v>
      </c>
      <c r="H34" s="72" t="str">
        <f>IF(G34&lt;0,DEC2HEX(65536+(G34*10),4),DEC2HEX(G34*10,4))</f>
        <v>00C8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3" t="s">
        <v>50</v>
      </c>
      <c r="C35" s="84"/>
      <c r="D35" s="84"/>
      <c r="E35" s="106" t="s">
        <v>46</v>
      </c>
      <c r="F35" s="84"/>
      <c r="G35" s="29">
        <v>0</v>
      </c>
      <c r="H35" s="29" t="str">
        <f>DEC2HEX(G35*10,4)</f>
        <v>0000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5" t="s">
        <v>51</v>
      </c>
      <c r="C36" s="84"/>
      <c r="D36" s="84"/>
      <c r="E36" s="106" t="s">
        <v>46</v>
      </c>
      <c r="F36" s="84"/>
      <c r="G36" s="29">
        <v>0</v>
      </c>
      <c r="H36" s="29" t="str">
        <f>DEC2HEX(G36*10,4)</f>
        <v>0000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4" t="s">
        <v>52</v>
      </c>
      <c r="C37" s="84"/>
      <c r="D37" s="84"/>
      <c r="E37" s="106" t="s">
        <v>46</v>
      </c>
      <c r="F37" s="84"/>
      <c r="G37" s="29">
        <v>0</v>
      </c>
      <c r="H37" s="29" t="str">
        <f t="shared" si="2"/>
        <v>0000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4" t="s">
        <v>53</v>
      </c>
      <c r="C38" s="84"/>
      <c r="D38" s="84"/>
      <c r="E38" s="106" t="s">
        <v>46</v>
      </c>
      <c r="F38" s="84"/>
      <c r="G38" s="29">
        <v>0</v>
      </c>
      <c r="H38" s="29" t="str">
        <f t="shared" si="2"/>
        <v>0000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54</v>
      </c>
      <c r="C39" s="84"/>
      <c r="D39" s="84"/>
      <c r="E39" s="106" t="s">
        <v>46</v>
      </c>
      <c r="F39" s="84"/>
      <c r="G39" s="29">
        <v>0</v>
      </c>
      <c r="H39" s="29" t="str">
        <f t="shared" si="2"/>
        <v>0000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55</v>
      </c>
      <c r="C40" s="84"/>
      <c r="D40" s="84"/>
      <c r="E40" s="106" t="s">
        <v>46</v>
      </c>
      <c r="F40" s="84"/>
      <c r="G40" s="29">
        <v>0</v>
      </c>
      <c r="H40" s="29" t="str">
        <f t="shared" si="2"/>
        <v>0000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56</v>
      </c>
      <c r="C41" s="84"/>
      <c r="D41" s="84"/>
      <c r="E41" s="106" t="s">
        <v>46</v>
      </c>
      <c r="F41" s="84"/>
      <c r="G41" s="29">
        <v>0</v>
      </c>
      <c r="H41" s="29" t="str">
        <f t="shared" si="2"/>
        <v>0000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57</v>
      </c>
      <c r="C42" s="84"/>
      <c r="D42" s="84"/>
      <c r="E42" s="106" t="s">
        <v>46</v>
      </c>
      <c r="F42" s="84"/>
      <c r="G42" s="29">
        <v>0</v>
      </c>
      <c r="H42" s="29" t="str">
        <f t="shared" si="2"/>
        <v>0000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58</v>
      </c>
      <c r="C43" s="84"/>
      <c r="D43" s="84"/>
      <c r="E43" s="106" t="s">
        <v>46</v>
      </c>
      <c r="F43" s="84"/>
      <c r="G43" s="29">
        <v>0</v>
      </c>
      <c r="H43" s="29" t="str">
        <f t="shared" si="2"/>
        <v>0000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59</v>
      </c>
      <c r="C44" s="84"/>
      <c r="D44" s="84"/>
      <c r="E44" s="106" t="s">
        <v>46</v>
      </c>
      <c r="F44" s="84"/>
      <c r="G44" s="29">
        <v>0</v>
      </c>
      <c r="H44" s="29" t="str">
        <f t="shared" si="2"/>
        <v>0000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x14ac:dyDescent="0.3">
      <c r="B45" s="94" t="s">
        <v>41</v>
      </c>
      <c r="C45" s="84"/>
      <c r="D45" s="84"/>
      <c r="E45" s="106" t="s">
        <v>47</v>
      </c>
      <c r="F45" s="84"/>
      <c r="G45" s="29">
        <v>1</v>
      </c>
      <c r="H45" s="29" t="str">
        <f>DEC2HEX(G45,2)</f>
        <v>01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</row>
    <row r="46" spans="2:23" ht="15" thickBot="1" x14ac:dyDescent="0.35">
      <c r="B46" s="35"/>
      <c r="C46" s="36"/>
      <c r="D46" s="36"/>
      <c r="E46" s="37"/>
      <c r="F46" s="38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9"/>
    </row>
    <row r="47" spans="2:23" ht="15" thickTop="1" x14ac:dyDescent="0.3"/>
  </sheetData>
  <mergeCells count="49">
    <mergeCell ref="B44:D44"/>
    <mergeCell ref="E44:F44"/>
    <mergeCell ref="B45:D45"/>
    <mergeCell ref="E45:F45"/>
    <mergeCell ref="B24:W24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2:D32"/>
    <mergeCell ref="E32:F32"/>
    <mergeCell ref="B33:D33"/>
    <mergeCell ref="E33:F33"/>
    <mergeCell ref="B34:D34"/>
    <mergeCell ref="E34:F34"/>
    <mergeCell ref="B29:D29"/>
    <mergeCell ref="E29:F29"/>
    <mergeCell ref="B30:D30"/>
    <mergeCell ref="E30:F30"/>
    <mergeCell ref="B31:D31"/>
    <mergeCell ref="E31:F31"/>
    <mergeCell ref="B26:D26"/>
    <mergeCell ref="E26:F26"/>
    <mergeCell ref="I26:W26"/>
    <mergeCell ref="B27:D27"/>
    <mergeCell ref="E27:F27"/>
    <mergeCell ref="I27:W28"/>
    <mergeCell ref="B28:D28"/>
    <mergeCell ref="E28:F28"/>
    <mergeCell ref="B2:E2"/>
    <mergeCell ref="B3:F3"/>
    <mergeCell ref="B25:D25"/>
    <mergeCell ref="E25:G25"/>
    <mergeCell ref="I25:W25"/>
    <mergeCell ref="U14:V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6C60-61C6-2649-AC7D-42E5D5C31707}">
  <dimension ref="A1:X47"/>
  <sheetViews>
    <sheetView topLeftCell="A13" workbookViewId="0">
      <selection activeCell="B31" sqref="B31:G31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3.6640625" style="2" customWidth="1"/>
    <col min="5" max="5" width="13" style="1" customWidth="1"/>
    <col min="6" max="6" width="26.77734375" style="3" customWidth="1"/>
    <col min="7" max="7" width="9.33203125" style="2" customWidth="1"/>
    <col min="8" max="8" width="9.109375" style="2" customWidth="1"/>
    <col min="9" max="20" width="7.77734375" style="2" customWidth="1"/>
    <col min="21" max="22" width="10.77734375" style="2"/>
    <col min="23" max="23" width="11.44140625" style="2" customWidth="1"/>
    <col min="24" max="16384" width="10.77734375" style="2"/>
  </cols>
  <sheetData>
    <row r="1" spans="1:24" ht="15" thickBot="1" x14ac:dyDescent="0.35"/>
    <row r="2" spans="1:24" ht="18.600000000000001" thickTop="1" x14ac:dyDescent="0.35">
      <c r="B2" s="109" t="s">
        <v>39</v>
      </c>
      <c r="C2" s="110"/>
      <c r="D2" s="110"/>
      <c r="E2" s="110"/>
      <c r="F2" s="4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A3" s="4"/>
      <c r="B3" s="111" t="s">
        <v>33</v>
      </c>
      <c r="C3" s="112"/>
      <c r="D3" s="112"/>
      <c r="E3" s="112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x14ac:dyDescent="0.3">
      <c r="A4" s="4"/>
      <c r="B4" s="16"/>
      <c r="C4" s="14"/>
      <c r="D4" s="14"/>
      <c r="E4" s="17"/>
      <c r="F4" s="1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B5" s="19" t="s">
        <v>3</v>
      </c>
      <c r="C5" s="20" t="s">
        <v>2</v>
      </c>
      <c r="D5" s="21" t="s">
        <v>1</v>
      </c>
      <c r="E5" s="22" t="s">
        <v>40</v>
      </c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A6" s="4"/>
      <c r="B6" s="23">
        <v>1</v>
      </c>
      <c r="C6" s="24">
        <v>6</v>
      </c>
      <c r="D6" s="17" t="str">
        <f t="shared" ref="D6:D13" si="0">MID($B$3,B6,C6)</f>
        <v>0000BD</v>
      </c>
      <c r="E6" s="25">
        <f>HEX2DEC(D6)</f>
        <v>189</v>
      </c>
      <c r="F6" s="18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f t="shared" ref="B7:B13" si="1">B6+C6</f>
        <v>7</v>
      </c>
      <c r="C7" s="24">
        <v>2</v>
      </c>
      <c r="D7" s="17" t="str">
        <f t="shared" si="0"/>
        <v>0C</v>
      </c>
      <c r="E7" s="25">
        <f>HEX2DEC(D7)</f>
        <v>12</v>
      </c>
      <c r="F7" s="18" t="s">
        <v>20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si="1"/>
        <v>9</v>
      </c>
      <c r="C8" s="24">
        <v>2</v>
      </c>
      <c r="D8" s="17" t="str">
        <f t="shared" si="0"/>
        <v>0A</v>
      </c>
      <c r="E8" s="25">
        <f>HEX2DEC(D8)</f>
        <v>10</v>
      </c>
      <c r="F8" s="18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1"/>
        <v>11</v>
      </c>
      <c r="C9" s="24">
        <v>2</v>
      </c>
      <c r="D9" s="17" t="str">
        <f t="shared" si="0"/>
        <v>01</v>
      </c>
      <c r="E9" s="26" t="str">
        <f>HEX2BIN(D9,8)</f>
        <v>00000001</v>
      </c>
      <c r="F9" s="27" t="s">
        <v>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1"/>
        <v>13</v>
      </c>
      <c r="C10" s="24">
        <v>4</v>
      </c>
      <c r="D10" s="17" t="str">
        <f t="shared" si="0"/>
        <v>00CE</v>
      </c>
      <c r="E10" s="7">
        <f>IF(LEFT(D10,1)&gt;="A",(HEX2DEC(D10)-65536)/10,HEX2DEC(D10)/10)</f>
        <v>20.6</v>
      </c>
      <c r="F10" s="18" t="s">
        <v>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1"/>
        <v>17</v>
      </c>
      <c r="C11" s="24">
        <v>4</v>
      </c>
      <c r="D11" s="17" t="str">
        <f t="shared" si="0"/>
        <v>00CA</v>
      </c>
      <c r="E11" s="7">
        <f>IF(LEFT(D11,1)&gt;="A",(HEX2DEC(D11)-65536)/10,HEX2DEC(D11)/10)</f>
        <v>20.2</v>
      </c>
      <c r="F11" s="18" t="s">
        <v>14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3">
      <c r="A12" s="4"/>
      <c r="B12" s="23">
        <f t="shared" si="1"/>
        <v>21</v>
      </c>
      <c r="C12" s="24">
        <v>4</v>
      </c>
      <c r="D12" s="17" t="str">
        <f t="shared" si="0"/>
        <v>0001</v>
      </c>
      <c r="E12" s="25">
        <f>HEX2DEC(D12)</f>
        <v>1</v>
      </c>
      <c r="F12" s="18" t="s">
        <v>10</v>
      </c>
      <c r="G12" s="29" t="str">
        <f>HEX2BIN(MID(D12,1,2),8)</f>
        <v>00000000</v>
      </c>
      <c r="H12" s="29" t="str">
        <f>HEX2BIN(MID(D12,3,2),8)</f>
        <v>00000001</v>
      </c>
      <c r="I12" s="51">
        <f>IF((MID($G12,1,1)="0"),0,1)</f>
        <v>0</v>
      </c>
      <c r="J12" s="51">
        <f>IF((MID($G12,2,1)="0"),0,1)</f>
        <v>0</v>
      </c>
      <c r="K12" s="51">
        <f>IF((MID($G12,3,1)="0"),0,1)</f>
        <v>0</v>
      </c>
      <c r="L12" s="51">
        <f>IF((MID($G12,4,1)="0"),0,1)</f>
        <v>0</v>
      </c>
      <c r="M12" s="51">
        <f>IF((MID($G12,5,1)="0"),0,1)</f>
        <v>0</v>
      </c>
      <c r="N12" s="51">
        <f>IF((MID($G12,6,1)="0"),0,1)</f>
        <v>0</v>
      </c>
      <c r="O12" s="51">
        <f>IF((MID($G12,7,1)="0"),0,1)</f>
        <v>0</v>
      </c>
      <c r="P12" s="51">
        <f>IF((MID($G12,8,1)="0"),0,1)</f>
        <v>0</v>
      </c>
      <c r="Q12" s="51">
        <f>IF((MID($H12,1,1)="0"),0,1)</f>
        <v>0</v>
      </c>
      <c r="R12" s="51">
        <f>IF((MID($H12,2,1)="0"),0,1)</f>
        <v>0</v>
      </c>
      <c r="S12" s="51">
        <f>IF((MID($H12,3,1)="0"),0,1)</f>
        <v>0</v>
      </c>
      <c r="T12" s="51">
        <f>IF((MID($H12,4,1)="0"),0,1)</f>
        <v>0</v>
      </c>
      <c r="U12" s="32" t="str">
        <f>IF((MID($H12,5,1)="0"),"Temp2 Lo OK","Temp2 Lo Alm")</f>
        <v>Temp2 Lo OK</v>
      </c>
      <c r="V12" s="32" t="str">
        <f>IF((MID($H12,6,1)="0"),"Temp2 Hi OK","Temp2 Hi Alm")</f>
        <v>Temp2 Hi OK</v>
      </c>
      <c r="W12" s="32" t="str">
        <f>IF((MID($H12,7,1)="0"),"Temp1 Lo OK","Temp1 Lo Alm")</f>
        <v>Temp1 Lo OK</v>
      </c>
      <c r="X12" s="45" t="str">
        <f>IF((MID($H12,8,1)="0"),"Temp1 Hi OK","Temp1 Hi Alm")</f>
        <v>Temp1 Hi Alm</v>
      </c>
    </row>
    <row r="13" spans="1:24" x14ac:dyDescent="0.3">
      <c r="A13" s="4"/>
      <c r="B13" s="23">
        <f t="shared" si="1"/>
        <v>25</v>
      </c>
      <c r="C13" s="24">
        <v>4</v>
      </c>
      <c r="D13" s="17" t="str">
        <f t="shared" si="0"/>
        <v>0000</v>
      </c>
      <c r="E13" s="25">
        <f>HEX2DEC(D13)</f>
        <v>0</v>
      </c>
      <c r="F13" s="33" t="s">
        <v>0</v>
      </c>
      <c r="G13" s="29" t="str">
        <f>HEX2BIN(MID(D13,1,2),8)</f>
        <v>00000000</v>
      </c>
      <c r="H13" s="29" t="str">
        <f>HEX2BIN(MID(D13,3,2),8)</f>
        <v>00000000</v>
      </c>
      <c r="I13" s="51">
        <f>IF((MID($G13,1,1)="0"),0,1)</f>
        <v>0</v>
      </c>
      <c r="J13" s="51">
        <f>IF((MID($G13,2,1)="0"),0,1)</f>
        <v>0</v>
      </c>
      <c r="K13" s="51">
        <f>IF((MID($G13,3,1)="0"),0,1)</f>
        <v>0</v>
      </c>
      <c r="L13" s="51">
        <f>IF((MID($G13,4,1)="0"),0,1)</f>
        <v>0</v>
      </c>
      <c r="M13" s="51">
        <f>IF((MID($G13,5,1)="0"),0,1)</f>
        <v>0</v>
      </c>
      <c r="N13" s="51">
        <f>IF((MID($G13,6,1)="0"),0,1)</f>
        <v>0</v>
      </c>
      <c r="O13" s="51">
        <f>IF((MID($G13,7,1)="0"),0,1)</f>
        <v>0</v>
      </c>
      <c r="P13" s="51">
        <f>IF((MID($G13,8,1)="0"),0,1)</f>
        <v>0</v>
      </c>
      <c r="Q13" s="51">
        <f>IF((MID($H13,1,1)="0"),0,1)</f>
        <v>0</v>
      </c>
      <c r="R13" s="51">
        <f>IF((MID($H13,2,1)="0"),0,1)</f>
        <v>0</v>
      </c>
      <c r="S13" s="51">
        <f>IF((MID($H13,3,1)="0"),0,1)</f>
        <v>0</v>
      </c>
      <c r="T13" s="51">
        <f>IF((MID($H13,4,1)="0"),0,1)</f>
        <v>0</v>
      </c>
      <c r="U13" s="5">
        <f>IF((MID($H13,5,1)="0"),0,1)</f>
        <v>0</v>
      </c>
      <c r="V13" s="6">
        <f>IF((MID($H13,6,1)="0"),0,1)</f>
        <v>0</v>
      </c>
      <c r="W13" s="32">
        <f>IF((MID($H13,7,1)="0"),0,1)</f>
        <v>0</v>
      </c>
      <c r="X13" s="45" t="str">
        <f>IF((MID($H13,8,1)="0"),"Normal","Alarm")</f>
        <v>Normal</v>
      </c>
    </row>
    <row r="14" spans="1:24" ht="15" customHeight="1" x14ac:dyDescent="0.3">
      <c r="A14" s="4"/>
      <c r="B14" s="23"/>
      <c r="C14" s="24"/>
      <c r="D14" s="17"/>
      <c r="E14" s="28"/>
      <c r="F14" s="1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8" t="s">
        <v>155</v>
      </c>
      <c r="V14" s="89"/>
      <c r="W14" s="67"/>
      <c r="X14" s="68"/>
    </row>
    <row r="15" spans="1:24" x14ac:dyDescent="0.3">
      <c r="B15" s="34"/>
      <c r="C15" s="14"/>
      <c r="D15" s="14"/>
      <c r="E15" s="28"/>
      <c r="F15" s="1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90"/>
      <c r="V15" s="89"/>
      <c r="W15" s="67"/>
      <c r="X15" s="68"/>
    </row>
    <row r="16" spans="1:24" x14ac:dyDescent="0.3">
      <c r="B16" s="34"/>
      <c r="C16" s="14"/>
      <c r="D16" s="14"/>
      <c r="E16" s="28"/>
      <c r="F16" s="1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90"/>
      <c r="V16" s="89"/>
      <c r="W16" s="67"/>
      <c r="X16" s="68"/>
    </row>
    <row r="17" spans="2:24" x14ac:dyDescent="0.3">
      <c r="B17" s="34"/>
      <c r="C17" s="14"/>
      <c r="D17" s="14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0"/>
      <c r="V17" s="89"/>
      <c r="W17" s="67"/>
      <c r="X17" s="68"/>
    </row>
    <row r="18" spans="2:24" x14ac:dyDescent="0.3">
      <c r="B18" s="34"/>
      <c r="C18" s="14"/>
      <c r="D18" s="14"/>
      <c r="E18" s="17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0"/>
      <c r="V18" s="89"/>
      <c r="W18" s="67"/>
      <c r="X18" s="68"/>
    </row>
    <row r="19" spans="2:24" x14ac:dyDescent="0.3">
      <c r="B19" s="34"/>
      <c r="C19" s="14"/>
      <c r="D19" s="14"/>
      <c r="E19" s="17"/>
      <c r="F19" s="1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91"/>
      <c r="V19" s="92"/>
      <c r="W19" s="67"/>
      <c r="X19" s="68"/>
    </row>
    <row r="20" spans="2:24" ht="15" thickBot="1" x14ac:dyDescent="0.35">
      <c r="B20" s="35"/>
      <c r="C20" s="36"/>
      <c r="D20" s="36"/>
      <c r="E20" s="37"/>
      <c r="F20" s="38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9"/>
    </row>
    <row r="21" spans="2:24" ht="15" thickTop="1" x14ac:dyDescent="0.3"/>
    <row r="23" spans="2:24" ht="15" thickBot="1" x14ac:dyDescent="0.35"/>
    <row r="24" spans="2:24" ht="27" thickTop="1" thickBot="1" x14ac:dyDescent="0.55000000000000004">
      <c r="B24" s="85" t="s">
        <v>92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7"/>
    </row>
    <row r="25" spans="2:24" ht="42" customHeight="1" thickTop="1" x14ac:dyDescent="0.35">
      <c r="B25" s="81" t="s">
        <v>93</v>
      </c>
      <c r="C25" s="82"/>
      <c r="D25" s="82"/>
      <c r="E25" s="103" t="s">
        <v>62</v>
      </c>
      <c r="F25" s="104"/>
      <c r="G25" s="105"/>
      <c r="H25" s="41" t="s">
        <v>42</v>
      </c>
      <c r="I25" s="98" t="s">
        <v>43</v>
      </c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99"/>
      <c r="V25" s="99"/>
      <c r="W25" s="100"/>
    </row>
    <row r="26" spans="2:24" x14ac:dyDescent="0.3">
      <c r="B26" s="83"/>
      <c r="C26" s="84"/>
      <c r="D26" s="84"/>
      <c r="E26" s="108"/>
      <c r="F26" s="84"/>
      <c r="G26" s="40"/>
      <c r="H26" s="40"/>
      <c r="I26" s="101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102"/>
    </row>
    <row r="27" spans="2:24" x14ac:dyDescent="0.3">
      <c r="B27" s="93" t="s">
        <v>41</v>
      </c>
      <c r="C27" s="84"/>
      <c r="D27" s="84"/>
      <c r="E27" s="106" t="s">
        <v>46</v>
      </c>
      <c r="F27" s="84"/>
      <c r="G27" s="51">
        <v>0</v>
      </c>
      <c r="H27" s="29" t="str">
        <f>DEC2HEX(G27,6)</f>
        <v>000000</v>
      </c>
      <c r="I27" s="96" t="str">
        <f>H27&amp;H28&amp;H29&amp;H30&amp;H31&amp;H32&amp;H33&amp;H34&amp;H35&amp;H36&amp;H37&amp;H38&amp;H39&amp;H40&amp;H41&amp;H42&amp;H43&amp;H44&amp;H45</f>
        <v>000000030000012C00000000015E00C8032001900000000000000000000000000000000001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  <c r="U27" s="96"/>
      <c r="V27" s="96"/>
      <c r="W27" s="97"/>
    </row>
    <row r="28" spans="2:24" x14ac:dyDescent="0.3">
      <c r="B28" s="93" t="s">
        <v>60</v>
      </c>
      <c r="C28" s="84"/>
      <c r="D28" s="84"/>
      <c r="E28" s="106" t="s">
        <v>45</v>
      </c>
      <c r="F28" s="84"/>
      <c r="G28" s="29">
        <v>3</v>
      </c>
      <c r="H28" s="29" t="str">
        <f>DEC2HEX(G28,2)</f>
        <v>03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6"/>
      <c r="V28" s="96"/>
      <c r="W28" s="97"/>
    </row>
    <row r="29" spans="2:24" x14ac:dyDescent="0.3">
      <c r="B29" s="93" t="s">
        <v>41</v>
      </c>
      <c r="C29" s="84"/>
      <c r="D29" s="84"/>
      <c r="E29" s="106" t="s">
        <v>46</v>
      </c>
      <c r="F29" s="84"/>
      <c r="G29" s="29">
        <v>0</v>
      </c>
      <c r="H29" s="29" t="str">
        <f>DEC2HEX(G29,4)</f>
        <v>0000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5"/>
    </row>
    <row r="30" spans="2:24" x14ac:dyDescent="0.3">
      <c r="B30" s="93" t="s">
        <v>61</v>
      </c>
      <c r="C30" s="84"/>
      <c r="D30" s="84"/>
      <c r="E30" s="106" t="s">
        <v>44</v>
      </c>
      <c r="F30" s="84"/>
      <c r="G30" s="42">
        <v>5</v>
      </c>
      <c r="H30" s="29" t="str">
        <f>DEC2HEX(G30*60,4)</f>
        <v>012C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2:24" x14ac:dyDescent="0.3">
      <c r="B31" s="93" t="s">
        <v>41</v>
      </c>
      <c r="C31" s="84"/>
      <c r="D31" s="84"/>
      <c r="E31" s="106" t="s">
        <v>46</v>
      </c>
      <c r="F31" s="84"/>
      <c r="G31" s="73">
        <v>0</v>
      </c>
      <c r="H31" s="29" t="str">
        <f t="shared" ref="H31:H44" si="2">DEC2HEX(G31,4)</f>
        <v>0000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2:24" x14ac:dyDescent="0.3">
      <c r="B32" s="93" t="s">
        <v>41</v>
      </c>
      <c r="C32" s="84"/>
      <c r="D32" s="84"/>
      <c r="E32" s="106" t="s">
        <v>46</v>
      </c>
      <c r="F32" s="84"/>
      <c r="G32" s="73">
        <v>0</v>
      </c>
      <c r="H32" s="29" t="str">
        <f>DEC2HEX(G32*3600,4)</f>
        <v>0000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48</v>
      </c>
      <c r="C33" s="84"/>
      <c r="D33" s="84"/>
      <c r="E33" s="106" t="s">
        <v>71</v>
      </c>
      <c r="F33" s="84"/>
      <c r="G33" s="43">
        <v>35</v>
      </c>
      <c r="H33" s="72" t="str">
        <f>IF(G33&lt;0,DEC2HEX(65536+(G33*10),4),DEC2HEX(G33*10,4))</f>
        <v>015E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49</v>
      </c>
      <c r="C34" s="84"/>
      <c r="D34" s="84"/>
      <c r="E34" s="106" t="s">
        <v>72</v>
      </c>
      <c r="F34" s="84"/>
      <c r="G34" s="43">
        <v>20</v>
      </c>
      <c r="H34" s="72" t="str">
        <f>IF(G34&lt;0,DEC2HEX(65536+(G34*10),4),DEC2HEX(G34*10,4))</f>
        <v>00C8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3" t="s">
        <v>50</v>
      </c>
      <c r="C35" s="84"/>
      <c r="D35" s="84"/>
      <c r="E35" s="106" t="s">
        <v>73</v>
      </c>
      <c r="F35" s="84"/>
      <c r="G35" s="43">
        <v>80</v>
      </c>
      <c r="H35" s="72" t="str">
        <f>IF(G35&lt;0,DEC2HEX(65536+(G35*10),4),DEC2HEX(G35*10,4))</f>
        <v>0320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5" t="s">
        <v>51</v>
      </c>
      <c r="C36" s="84"/>
      <c r="D36" s="84"/>
      <c r="E36" s="106" t="s">
        <v>74</v>
      </c>
      <c r="F36" s="84"/>
      <c r="G36" s="43">
        <v>40</v>
      </c>
      <c r="H36" s="72" t="str">
        <f>IF(G36&lt;0,DEC2HEX(65536+(G36*10),4),DEC2HEX(G36*10,4))</f>
        <v>0190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4" t="s">
        <v>52</v>
      </c>
      <c r="C37" s="84"/>
      <c r="D37" s="84"/>
      <c r="E37" s="106" t="s">
        <v>46</v>
      </c>
      <c r="F37" s="84"/>
      <c r="G37" s="29">
        <v>0</v>
      </c>
      <c r="H37" s="29" t="str">
        <f t="shared" si="2"/>
        <v>0000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4" t="s">
        <v>53</v>
      </c>
      <c r="C38" s="84"/>
      <c r="D38" s="84"/>
      <c r="E38" s="106" t="s">
        <v>46</v>
      </c>
      <c r="F38" s="84"/>
      <c r="G38" s="29">
        <v>0</v>
      </c>
      <c r="H38" s="29" t="str">
        <f t="shared" si="2"/>
        <v>0000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54</v>
      </c>
      <c r="C39" s="84"/>
      <c r="D39" s="84"/>
      <c r="E39" s="106" t="s">
        <v>46</v>
      </c>
      <c r="F39" s="84"/>
      <c r="G39" s="29">
        <v>0</v>
      </c>
      <c r="H39" s="29" t="str">
        <f t="shared" si="2"/>
        <v>0000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55</v>
      </c>
      <c r="C40" s="84"/>
      <c r="D40" s="84"/>
      <c r="E40" s="106" t="s">
        <v>46</v>
      </c>
      <c r="F40" s="84"/>
      <c r="G40" s="29">
        <v>0</v>
      </c>
      <c r="H40" s="29" t="str">
        <f t="shared" si="2"/>
        <v>0000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56</v>
      </c>
      <c r="C41" s="84"/>
      <c r="D41" s="84"/>
      <c r="E41" s="106" t="s">
        <v>46</v>
      </c>
      <c r="F41" s="84"/>
      <c r="G41" s="29">
        <v>0</v>
      </c>
      <c r="H41" s="29" t="str">
        <f t="shared" si="2"/>
        <v>0000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57</v>
      </c>
      <c r="C42" s="84"/>
      <c r="D42" s="84"/>
      <c r="E42" s="106" t="s">
        <v>46</v>
      </c>
      <c r="F42" s="84"/>
      <c r="G42" s="29">
        <v>0</v>
      </c>
      <c r="H42" s="29" t="str">
        <f t="shared" si="2"/>
        <v>0000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58</v>
      </c>
      <c r="C43" s="84"/>
      <c r="D43" s="84"/>
      <c r="E43" s="106" t="s">
        <v>46</v>
      </c>
      <c r="F43" s="84"/>
      <c r="G43" s="29">
        <v>0</v>
      </c>
      <c r="H43" s="29" t="str">
        <f t="shared" si="2"/>
        <v>0000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59</v>
      </c>
      <c r="C44" s="84"/>
      <c r="D44" s="84"/>
      <c r="E44" s="106" t="s">
        <v>46</v>
      </c>
      <c r="F44" s="84"/>
      <c r="G44" s="29">
        <v>0</v>
      </c>
      <c r="H44" s="29" t="str">
        <f t="shared" si="2"/>
        <v>0000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x14ac:dyDescent="0.3">
      <c r="B45" s="94" t="s">
        <v>41</v>
      </c>
      <c r="C45" s="84"/>
      <c r="D45" s="84"/>
      <c r="E45" s="106" t="s">
        <v>47</v>
      </c>
      <c r="F45" s="84"/>
      <c r="G45" s="29">
        <v>1</v>
      </c>
      <c r="H45" s="29" t="str">
        <f>DEC2HEX(G45,2)</f>
        <v>01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</row>
    <row r="46" spans="2:23" ht="15" thickBot="1" x14ac:dyDescent="0.35">
      <c r="B46" s="35"/>
      <c r="C46" s="36"/>
      <c r="D46" s="36"/>
      <c r="E46" s="37"/>
      <c r="F46" s="38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9"/>
    </row>
    <row r="47" spans="2:23" ht="15" thickTop="1" x14ac:dyDescent="0.3"/>
  </sheetData>
  <mergeCells count="49">
    <mergeCell ref="B44:D44"/>
    <mergeCell ref="E44:F44"/>
    <mergeCell ref="B45:D45"/>
    <mergeCell ref="E45:F45"/>
    <mergeCell ref="B24:W24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2:D32"/>
    <mergeCell ref="E32:F32"/>
    <mergeCell ref="B33:D33"/>
    <mergeCell ref="E33:F33"/>
    <mergeCell ref="B34:D34"/>
    <mergeCell ref="E34:F34"/>
    <mergeCell ref="B29:D29"/>
    <mergeCell ref="E29:F29"/>
    <mergeCell ref="B30:D30"/>
    <mergeCell ref="E30:F30"/>
    <mergeCell ref="B31:D31"/>
    <mergeCell ref="E31:F31"/>
    <mergeCell ref="B26:D26"/>
    <mergeCell ref="E26:F26"/>
    <mergeCell ref="I26:W26"/>
    <mergeCell ref="B27:D27"/>
    <mergeCell ref="E27:F27"/>
    <mergeCell ref="I27:W28"/>
    <mergeCell ref="B28:D28"/>
    <mergeCell ref="E28:F28"/>
    <mergeCell ref="B2:E2"/>
    <mergeCell ref="B3:F3"/>
    <mergeCell ref="B25:D25"/>
    <mergeCell ref="E25:G25"/>
    <mergeCell ref="I25:W25"/>
    <mergeCell ref="U14:V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DD67-229E-F54D-85F0-F22848E3A28D}">
  <dimension ref="A1:X46"/>
  <sheetViews>
    <sheetView topLeftCell="A10" workbookViewId="0">
      <selection activeCell="B30" sqref="B30:G30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4.6640625" style="2" customWidth="1"/>
    <col min="5" max="5" width="13" style="1" customWidth="1"/>
    <col min="6" max="6" width="28.109375" style="3" customWidth="1"/>
    <col min="7" max="7" width="9.109375" style="2" customWidth="1"/>
    <col min="8" max="8" width="9.44140625" style="2" customWidth="1"/>
    <col min="9" max="22" width="7.77734375" style="2" customWidth="1"/>
    <col min="23" max="16384" width="10.77734375" style="2"/>
  </cols>
  <sheetData>
    <row r="1" spans="1:24" ht="15" thickBot="1" x14ac:dyDescent="0.35"/>
    <row r="2" spans="1:24" ht="18.600000000000001" thickTop="1" x14ac:dyDescent="0.35">
      <c r="B2" s="109" t="s">
        <v>39</v>
      </c>
      <c r="C2" s="110"/>
      <c r="D2" s="110"/>
      <c r="E2" s="110"/>
      <c r="F2" s="4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A3" s="4"/>
      <c r="B3" s="111" t="s">
        <v>34</v>
      </c>
      <c r="C3" s="112"/>
      <c r="D3" s="112"/>
      <c r="E3" s="112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x14ac:dyDescent="0.3">
      <c r="A4" s="4"/>
      <c r="B4" s="16"/>
      <c r="C4" s="14"/>
      <c r="D4" s="14"/>
      <c r="E4" s="17"/>
      <c r="F4" s="1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B5" s="19" t="s">
        <v>3</v>
      </c>
      <c r="C5" s="20" t="s">
        <v>2</v>
      </c>
      <c r="D5" s="21" t="s">
        <v>1</v>
      </c>
      <c r="E5" s="22" t="s">
        <v>40</v>
      </c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A6" s="4"/>
      <c r="B6" s="23">
        <v>1</v>
      </c>
      <c r="C6" s="24">
        <v>6</v>
      </c>
      <c r="D6" s="17" t="str">
        <f t="shared" ref="D6:D12" si="0">MID($B$3,B6,C6)</f>
        <v>0000C7</v>
      </c>
      <c r="E6" s="25">
        <f>HEX2DEC(D6)</f>
        <v>199</v>
      </c>
      <c r="F6" s="18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f t="shared" ref="B7:B12" si="1">B6+C6</f>
        <v>7</v>
      </c>
      <c r="C7" s="24">
        <v>2</v>
      </c>
      <c r="D7" s="17" t="str">
        <f t="shared" si="0"/>
        <v>0D</v>
      </c>
      <c r="E7" s="25">
        <f>HEX2DEC(D7)</f>
        <v>13</v>
      </c>
      <c r="F7" s="18" t="s">
        <v>24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si="1"/>
        <v>9</v>
      </c>
      <c r="C8" s="24">
        <v>2</v>
      </c>
      <c r="D8" s="17" t="str">
        <f t="shared" si="0"/>
        <v>0A</v>
      </c>
      <c r="E8" s="25">
        <f>HEX2DEC(D8)</f>
        <v>10</v>
      </c>
      <c r="F8" s="18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1"/>
        <v>11</v>
      </c>
      <c r="C9" s="24">
        <v>2</v>
      </c>
      <c r="D9" s="17" t="str">
        <f t="shared" si="0"/>
        <v>01</v>
      </c>
      <c r="E9" s="26" t="str">
        <f>HEX2BIN(D9,8)</f>
        <v>00000001</v>
      </c>
      <c r="F9" s="27" t="s">
        <v>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1"/>
        <v>13</v>
      </c>
      <c r="C10" s="24">
        <v>4</v>
      </c>
      <c r="D10" s="17" t="str">
        <f t="shared" si="0"/>
        <v>0002</v>
      </c>
      <c r="E10" s="28">
        <f>HEX2DEC(D10)/1000</f>
        <v>2E-3</v>
      </c>
      <c r="F10" s="18" t="s">
        <v>23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1"/>
        <v>17</v>
      </c>
      <c r="C11" s="24">
        <v>4</v>
      </c>
      <c r="D11" s="17" t="str">
        <f t="shared" si="0"/>
        <v>0002</v>
      </c>
      <c r="E11" s="25">
        <f>HEX2DEC(D11)</f>
        <v>2</v>
      </c>
      <c r="F11" s="18" t="s">
        <v>10</v>
      </c>
      <c r="G11" s="29" t="str">
        <f>HEX2BIN(MID(D11,1,2),8)</f>
        <v>00000000</v>
      </c>
      <c r="H11" s="29" t="str">
        <f>HEX2BIN(MID(D11,3,2),8)</f>
        <v>00000010</v>
      </c>
      <c r="I11" s="51">
        <f>IF((MID($G11,1,1)="0"),0,1)</f>
        <v>0</v>
      </c>
      <c r="J11" s="51">
        <f>IF((MID($G11,2,1)="0"),0,1)</f>
        <v>0</v>
      </c>
      <c r="K11" s="51">
        <f>IF((MID($G11,3,1)="0"),0,1)</f>
        <v>0</v>
      </c>
      <c r="L11" s="51">
        <f>IF((MID($G11,4,1)="0"),0,1)</f>
        <v>0</v>
      </c>
      <c r="M11" s="51">
        <f>IF((MID($G11,5,1)="0"),0,1)</f>
        <v>0</v>
      </c>
      <c r="N11" s="51">
        <f>IF((MID($G11,6,1)="0"),0,1)</f>
        <v>0</v>
      </c>
      <c r="O11" s="51">
        <f>IF((MID($G11,7,1)="0"),0,1)</f>
        <v>0</v>
      </c>
      <c r="P11" s="51">
        <f>IF((MID($G11,8,1)="0"),0,1)</f>
        <v>0</v>
      </c>
      <c r="Q11" s="51">
        <f>IF((MID($H11,1,1)="0"),0,1)</f>
        <v>0</v>
      </c>
      <c r="R11" s="51">
        <f>IF((MID($H11,2,1)="0"),0,1)</f>
        <v>0</v>
      </c>
      <c r="S11" s="51">
        <f>IF((MID($H11,3,1)="0"),0,1)</f>
        <v>0</v>
      </c>
      <c r="T11" s="51">
        <f>IF((MID($H11,4,1)="0"),0,1)</f>
        <v>0</v>
      </c>
      <c r="U11" s="51">
        <f>IF((MID($H11,5,1)="0"),0,1)</f>
        <v>0</v>
      </c>
      <c r="V11" s="51">
        <f>IF((MID($H11,6,1)="0"),0,1)</f>
        <v>0</v>
      </c>
      <c r="W11" s="32" t="str">
        <f>IF((MID($H11,7,1)="0"),"4-20 Lo OK","4-20 Lo Alm")</f>
        <v>4-20 Lo Alm</v>
      </c>
      <c r="X11" s="45" t="str">
        <f>IF((MID($H11,8,1)="0"),"4-20 Hi OK","4-20 Hi Alm")</f>
        <v>4-20 Hi OK</v>
      </c>
    </row>
    <row r="12" spans="1:24" x14ac:dyDescent="0.3">
      <c r="A12" s="4"/>
      <c r="B12" s="23">
        <f t="shared" si="1"/>
        <v>21</v>
      </c>
      <c r="C12" s="24">
        <v>4</v>
      </c>
      <c r="D12" s="17" t="str">
        <f t="shared" si="0"/>
        <v>0000</v>
      </c>
      <c r="E12" s="25">
        <f>HEX2DEC(D12)</f>
        <v>0</v>
      </c>
      <c r="F12" s="33" t="s">
        <v>0</v>
      </c>
      <c r="G12" s="29" t="str">
        <f>HEX2BIN(MID(D12,1,2),8)</f>
        <v>00000000</v>
      </c>
      <c r="H12" s="29" t="str">
        <f>HEX2BIN(MID(D12,3,2),8)</f>
        <v>00000000</v>
      </c>
      <c r="I12" s="51">
        <f>IF((MID($G12,1,1)="0"),0,1)</f>
        <v>0</v>
      </c>
      <c r="J12" s="51">
        <f>IF((MID($G12,2,1)="0"),0,1)</f>
        <v>0</v>
      </c>
      <c r="K12" s="51">
        <f>IF((MID($G12,3,1)="0"),0,1)</f>
        <v>0</v>
      </c>
      <c r="L12" s="51">
        <f>IF((MID($G12,4,1)="0"),0,1)</f>
        <v>0</v>
      </c>
      <c r="M12" s="51">
        <f>IF((MID($G12,5,1)="0"),0,1)</f>
        <v>0</v>
      </c>
      <c r="N12" s="51">
        <f>IF((MID($G12,6,1)="0"),0,1)</f>
        <v>0</v>
      </c>
      <c r="O12" s="51">
        <f>IF((MID($G12,7,1)="0"),0,1)</f>
        <v>0</v>
      </c>
      <c r="P12" s="51">
        <f>IF((MID($G12,8,1)="0"),0,1)</f>
        <v>0</v>
      </c>
      <c r="Q12" s="51">
        <f>IF((MID($H12,1,1)="0"),0,1)</f>
        <v>0</v>
      </c>
      <c r="R12" s="51">
        <f>IF((MID($H12,2,1)="0"),0,1)</f>
        <v>0</v>
      </c>
      <c r="S12" s="51">
        <f>IF((MID($H12,3,1)="0"),0,1)</f>
        <v>0</v>
      </c>
      <c r="T12" s="51">
        <f>IF((MID($H12,4,1)="0"),0,1)</f>
        <v>0</v>
      </c>
      <c r="U12" s="5">
        <f>IF((MID($H12,5,1)="0"),0,1)</f>
        <v>0</v>
      </c>
      <c r="V12" s="6">
        <f>IF((MID($H12,6,1)="0"),0,1)</f>
        <v>0</v>
      </c>
      <c r="W12" s="32">
        <f>IF((MID($H12,7,1)="0"),0,1)</f>
        <v>0</v>
      </c>
      <c r="X12" s="45" t="str">
        <f>IF((MID($H12,8,1)="0"),"Normal","Alarm")</f>
        <v>Normal</v>
      </c>
    </row>
    <row r="13" spans="1:24" ht="15" customHeight="1" x14ac:dyDescent="0.3">
      <c r="A13" s="4"/>
      <c r="B13" s="23"/>
      <c r="C13" s="24"/>
      <c r="D13" s="17"/>
      <c r="E13" s="25"/>
      <c r="F13" s="46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88" t="s">
        <v>155</v>
      </c>
      <c r="V13" s="89"/>
      <c r="W13" s="67"/>
      <c r="X13" s="68"/>
    </row>
    <row r="14" spans="1:24" x14ac:dyDescent="0.3">
      <c r="A14" s="4"/>
      <c r="B14" s="23"/>
      <c r="C14" s="24"/>
      <c r="D14" s="17"/>
      <c r="E14" s="28"/>
      <c r="F14" s="1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90"/>
      <c r="V14" s="89"/>
      <c r="W14" s="67"/>
      <c r="X14" s="68"/>
    </row>
    <row r="15" spans="1:24" x14ac:dyDescent="0.3">
      <c r="B15" s="34"/>
      <c r="C15" s="14"/>
      <c r="D15" s="14"/>
      <c r="E15" s="28"/>
      <c r="F15" s="1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90"/>
      <c r="V15" s="89"/>
      <c r="W15" s="67"/>
      <c r="X15" s="68"/>
    </row>
    <row r="16" spans="1:24" x14ac:dyDescent="0.3">
      <c r="B16" s="34"/>
      <c r="C16" s="14"/>
      <c r="D16" s="14"/>
      <c r="E16" s="28"/>
      <c r="F16" s="1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90"/>
      <c r="V16" s="89"/>
      <c r="W16" s="67"/>
      <c r="X16" s="68"/>
    </row>
    <row r="17" spans="2:24" x14ac:dyDescent="0.3">
      <c r="B17" s="34"/>
      <c r="C17" s="14"/>
      <c r="D17" s="14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0"/>
      <c r="V17" s="89"/>
      <c r="W17" s="67"/>
      <c r="X17" s="68"/>
    </row>
    <row r="18" spans="2:24" x14ac:dyDescent="0.3">
      <c r="B18" s="34"/>
      <c r="C18" s="14"/>
      <c r="D18" s="14"/>
      <c r="E18" s="17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1"/>
      <c r="V18" s="92"/>
      <c r="W18" s="67"/>
      <c r="X18" s="68"/>
    </row>
    <row r="19" spans="2:24" ht="15" thickBot="1" x14ac:dyDescent="0.35">
      <c r="B19" s="35"/>
      <c r="C19" s="36"/>
      <c r="D19" s="36"/>
      <c r="E19" s="37"/>
      <c r="F19" s="38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9"/>
    </row>
    <row r="20" spans="2:24" ht="15" thickTop="1" x14ac:dyDescent="0.3"/>
    <row r="22" spans="2:24" ht="15" thickBot="1" x14ac:dyDescent="0.35"/>
    <row r="23" spans="2:24" ht="27" thickTop="1" thickBot="1" x14ac:dyDescent="0.55000000000000004">
      <c r="B23" s="85" t="s">
        <v>92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7"/>
    </row>
    <row r="24" spans="2:24" ht="42" customHeight="1" thickTop="1" x14ac:dyDescent="0.35">
      <c r="B24" s="81" t="s">
        <v>93</v>
      </c>
      <c r="C24" s="82"/>
      <c r="D24" s="82"/>
      <c r="E24" s="103" t="s">
        <v>62</v>
      </c>
      <c r="F24" s="104"/>
      <c r="G24" s="105"/>
      <c r="H24" s="41" t="s">
        <v>42</v>
      </c>
      <c r="I24" s="98" t="s">
        <v>43</v>
      </c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99"/>
      <c r="V24" s="99"/>
      <c r="W24" s="100"/>
    </row>
    <row r="25" spans="2:24" x14ac:dyDescent="0.3">
      <c r="B25" s="83"/>
      <c r="C25" s="84"/>
      <c r="D25" s="84"/>
      <c r="E25" s="108"/>
      <c r="F25" s="84"/>
      <c r="G25" s="40"/>
      <c r="H25" s="40"/>
      <c r="I25" s="101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102"/>
    </row>
    <row r="26" spans="2:24" x14ac:dyDescent="0.3">
      <c r="B26" s="93" t="s">
        <v>41</v>
      </c>
      <c r="C26" s="84"/>
      <c r="D26" s="84"/>
      <c r="E26" s="106" t="s">
        <v>46</v>
      </c>
      <c r="F26" s="84"/>
      <c r="G26" s="51">
        <v>0</v>
      </c>
      <c r="H26" s="29" t="str">
        <f>DEC2HEX(G26,6)</f>
        <v>000000</v>
      </c>
      <c r="I26" s="96" t="str">
        <f>H26&amp;H27&amp;H28&amp;H29&amp;H30&amp;H31&amp;H32&amp;H33&amp;H34&amp;H35&amp;H36&amp;H37&amp;H38&amp;H39&amp;H40&amp;H41&amp;H42&amp;H43&amp;H44</f>
        <v>000000030000012C00000000067201C201F400000000000000000000000000000000000001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7"/>
      <c r="U26" s="96"/>
      <c r="V26" s="96"/>
      <c r="W26" s="97"/>
    </row>
    <row r="27" spans="2:24" x14ac:dyDescent="0.3">
      <c r="B27" s="93" t="s">
        <v>60</v>
      </c>
      <c r="C27" s="84"/>
      <c r="D27" s="84"/>
      <c r="E27" s="106" t="s">
        <v>45</v>
      </c>
      <c r="F27" s="84"/>
      <c r="G27" s="29">
        <v>3</v>
      </c>
      <c r="H27" s="29" t="str">
        <f>DEC2HEX(G27,2)</f>
        <v>03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  <c r="U27" s="96"/>
      <c r="V27" s="96"/>
      <c r="W27" s="97"/>
    </row>
    <row r="28" spans="2:24" x14ac:dyDescent="0.3">
      <c r="B28" s="93" t="s">
        <v>41</v>
      </c>
      <c r="C28" s="84"/>
      <c r="D28" s="84"/>
      <c r="E28" s="106" t="s">
        <v>46</v>
      </c>
      <c r="F28" s="84"/>
      <c r="G28" s="29">
        <v>0</v>
      </c>
      <c r="H28" s="29" t="str">
        <f>DEC2HEX(G28,4)</f>
        <v>0000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5"/>
    </row>
    <row r="29" spans="2:24" x14ac:dyDescent="0.3">
      <c r="B29" s="93" t="s">
        <v>61</v>
      </c>
      <c r="C29" s="84"/>
      <c r="D29" s="84"/>
      <c r="E29" s="106" t="s">
        <v>44</v>
      </c>
      <c r="F29" s="84"/>
      <c r="G29" s="42">
        <v>5</v>
      </c>
      <c r="H29" s="29" t="str">
        <f>DEC2HEX(G29*60,4)</f>
        <v>012C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5"/>
    </row>
    <row r="30" spans="2:24" x14ac:dyDescent="0.3">
      <c r="B30" s="93" t="s">
        <v>41</v>
      </c>
      <c r="C30" s="84"/>
      <c r="D30" s="84"/>
      <c r="E30" s="106" t="s">
        <v>46</v>
      </c>
      <c r="F30" s="84"/>
      <c r="G30" s="73">
        <v>0</v>
      </c>
      <c r="H30" s="29" t="str">
        <f t="shared" ref="H30:H43" si="2">DEC2HEX(G30,4)</f>
        <v>0000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2:24" x14ac:dyDescent="0.3">
      <c r="B31" s="93" t="s">
        <v>41</v>
      </c>
      <c r="C31" s="84"/>
      <c r="D31" s="84"/>
      <c r="E31" s="106" t="s">
        <v>46</v>
      </c>
      <c r="F31" s="84"/>
      <c r="G31" s="73">
        <v>0</v>
      </c>
      <c r="H31" s="29" t="str">
        <f>DEC2HEX(G31*3600,4)</f>
        <v>0000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2:24" x14ac:dyDescent="0.3">
      <c r="B32" s="93" t="s">
        <v>48</v>
      </c>
      <c r="C32" s="84"/>
      <c r="D32" s="84"/>
      <c r="E32" s="106" t="s">
        <v>75</v>
      </c>
      <c r="F32" s="84"/>
      <c r="G32" s="49">
        <v>16.5</v>
      </c>
      <c r="H32" s="29" t="str">
        <f>DEC2HEX(G32*100,4)</f>
        <v>0672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49</v>
      </c>
      <c r="C33" s="84"/>
      <c r="D33" s="84"/>
      <c r="E33" s="106" t="s">
        <v>76</v>
      </c>
      <c r="F33" s="84"/>
      <c r="G33" s="49">
        <v>4.5</v>
      </c>
      <c r="H33" s="29" t="str">
        <f>DEC2HEX(G33*100,4)</f>
        <v>01C2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50</v>
      </c>
      <c r="C34" s="84"/>
      <c r="D34" s="84"/>
      <c r="E34" s="106" t="s">
        <v>77</v>
      </c>
      <c r="F34" s="84"/>
      <c r="G34" s="42">
        <v>500</v>
      </c>
      <c r="H34" s="29" t="str">
        <f>DEC2HEX(G34,4)</f>
        <v>01F4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5" t="s">
        <v>51</v>
      </c>
      <c r="C35" s="84"/>
      <c r="D35" s="84"/>
      <c r="E35" s="106" t="s">
        <v>46</v>
      </c>
      <c r="F35" s="84"/>
      <c r="G35" s="29">
        <v>0</v>
      </c>
      <c r="H35" s="29" t="str">
        <f>DEC2HEX(G35*10,4)</f>
        <v>0000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4" t="s">
        <v>52</v>
      </c>
      <c r="C36" s="84"/>
      <c r="D36" s="84"/>
      <c r="E36" s="106" t="s">
        <v>46</v>
      </c>
      <c r="F36" s="84"/>
      <c r="G36" s="29">
        <v>0</v>
      </c>
      <c r="H36" s="29" t="str">
        <f t="shared" si="2"/>
        <v>0000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4" t="s">
        <v>53</v>
      </c>
      <c r="C37" s="84"/>
      <c r="D37" s="84"/>
      <c r="E37" s="106" t="s">
        <v>46</v>
      </c>
      <c r="F37" s="84"/>
      <c r="G37" s="29">
        <v>0</v>
      </c>
      <c r="H37" s="29" t="str">
        <f t="shared" si="2"/>
        <v>0000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4" t="s">
        <v>54</v>
      </c>
      <c r="C38" s="84"/>
      <c r="D38" s="84"/>
      <c r="E38" s="106" t="s">
        <v>46</v>
      </c>
      <c r="F38" s="84"/>
      <c r="G38" s="29">
        <v>0</v>
      </c>
      <c r="H38" s="29" t="str">
        <f t="shared" si="2"/>
        <v>0000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55</v>
      </c>
      <c r="C39" s="84"/>
      <c r="D39" s="84"/>
      <c r="E39" s="106" t="s">
        <v>46</v>
      </c>
      <c r="F39" s="84"/>
      <c r="G39" s="29">
        <v>0</v>
      </c>
      <c r="H39" s="29" t="str">
        <f t="shared" si="2"/>
        <v>0000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56</v>
      </c>
      <c r="C40" s="84"/>
      <c r="D40" s="84"/>
      <c r="E40" s="106" t="s">
        <v>46</v>
      </c>
      <c r="F40" s="84"/>
      <c r="G40" s="29">
        <v>0</v>
      </c>
      <c r="H40" s="29" t="str">
        <f t="shared" si="2"/>
        <v>0000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57</v>
      </c>
      <c r="C41" s="84"/>
      <c r="D41" s="84"/>
      <c r="E41" s="106" t="s">
        <v>46</v>
      </c>
      <c r="F41" s="84"/>
      <c r="G41" s="29">
        <v>0</v>
      </c>
      <c r="H41" s="29" t="str">
        <f t="shared" si="2"/>
        <v>0000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58</v>
      </c>
      <c r="C42" s="84"/>
      <c r="D42" s="84"/>
      <c r="E42" s="106" t="s">
        <v>46</v>
      </c>
      <c r="F42" s="84"/>
      <c r="G42" s="29">
        <v>0</v>
      </c>
      <c r="H42" s="29" t="str">
        <f t="shared" si="2"/>
        <v>0000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59</v>
      </c>
      <c r="C43" s="84"/>
      <c r="D43" s="84"/>
      <c r="E43" s="106" t="s">
        <v>46</v>
      </c>
      <c r="F43" s="84"/>
      <c r="G43" s="29">
        <v>0</v>
      </c>
      <c r="H43" s="29" t="str">
        <f t="shared" si="2"/>
        <v>0000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41</v>
      </c>
      <c r="C44" s="84"/>
      <c r="D44" s="84"/>
      <c r="E44" s="106" t="s">
        <v>47</v>
      </c>
      <c r="F44" s="84"/>
      <c r="G44" s="29">
        <v>1</v>
      </c>
      <c r="H44" s="29" t="str">
        <f>DEC2HEX(G44,2)</f>
        <v>01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ht="15" thickBot="1" x14ac:dyDescent="0.35">
      <c r="B45" s="35"/>
      <c r="C45" s="36"/>
      <c r="D45" s="36"/>
      <c r="E45" s="37"/>
      <c r="F45" s="38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9"/>
    </row>
    <row r="46" spans="2:23" ht="15" thickTop="1" x14ac:dyDescent="0.3"/>
  </sheetData>
  <mergeCells count="49">
    <mergeCell ref="B43:D43"/>
    <mergeCell ref="E43:F43"/>
    <mergeCell ref="B44:D44"/>
    <mergeCell ref="E44:F44"/>
    <mergeCell ref="B23:W23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28:D28"/>
    <mergeCell ref="E28:F28"/>
    <mergeCell ref="B29:D29"/>
    <mergeCell ref="E29:F29"/>
    <mergeCell ref="B30:D30"/>
    <mergeCell ref="E30:F30"/>
    <mergeCell ref="B25:D25"/>
    <mergeCell ref="E25:F25"/>
    <mergeCell ref="I25:W25"/>
    <mergeCell ref="B26:D26"/>
    <mergeCell ref="E26:F26"/>
    <mergeCell ref="I26:W27"/>
    <mergeCell ref="B27:D27"/>
    <mergeCell ref="E27:F27"/>
    <mergeCell ref="B2:E2"/>
    <mergeCell ref="B3:F3"/>
    <mergeCell ref="B24:D24"/>
    <mergeCell ref="E24:G24"/>
    <mergeCell ref="I24:W24"/>
    <mergeCell ref="U13:V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C01CE-CDB4-DB49-83CD-D8E407170324}">
  <dimension ref="A1:X48"/>
  <sheetViews>
    <sheetView topLeftCell="A13" workbookViewId="0">
      <selection activeCell="E46" sqref="E46:F46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5.44140625" style="2" customWidth="1"/>
    <col min="5" max="5" width="13" style="1" customWidth="1"/>
    <col min="6" max="6" width="26.109375" style="3" customWidth="1"/>
    <col min="7" max="7" width="11" style="2" customWidth="1"/>
    <col min="8" max="8" width="9.6640625" style="2" customWidth="1"/>
    <col min="9" max="13" width="7.77734375" style="2" customWidth="1"/>
    <col min="14" max="16" width="12.77734375" style="2" customWidth="1"/>
    <col min="17" max="17" width="13.6640625" style="2" customWidth="1"/>
    <col min="18" max="20" width="12.77734375" style="2" customWidth="1"/>
    <col min="21" max="21" width="7.77734375" style="2" customWidth="1"/>
    <col min="22" max="24" width="12.77734375" style="2" customWidth="1"/>
    <col min="25" max="16384" width="10.77734375" style="2"/>
  </cols>
  <sheetData>
    <row r="1" spans="1:24" ht="15" thickBot="1" x14ac:dyDescent="0.35"/>
    <row r="2" spans="1:24" ht="18.600000000000001" thickTop="1" x14ac:dyDescent="0.35">
      <c r="B2" s="109" t="s">
        <v>39</v>
      </c>
      <c r="C2" s="110"/>
      <c r="D2" s="110"/>
      <c r="E2" s="110"/>
      <c r="F2" s="4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A3" s="4"/>
      <c r="B3" s="111" t="s">
        <v>29</v>
      </c>
      <c r="C3" s="112"/>
      <c r="D3" s="112"/>
      <c r="E3" s="112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x14ac:dyDescent="0.3">
      <c r="A4" s="4"/>
      <c r="B4" s="16"/>
      <c r="C4" s="14"/>
      <c r="D4" s="14"/>
      <c r="E4" s="17"/>
      <c r="F4" s="1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B5" s="19" t="s">
        <v>3</v>
      </c>
      <c r="C5" s="20" t="s">
        <v>2</v>
      </c>
      <c r="D5" s="21" t="s">
        <v>1</v>
      </c>
      <c r="E5" s="22" t="s">
        <v>40</v>
      </c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A6" s="4"/>
      <c r="B6" s="23">
        <v>1</v>
      </c>
      <c r="C6" s="24">
        <v>6</v>
      </c>
      <c r="D6" s="17" t="str">
        <f t="shared" ref="D6:D14" si="0">MID($B$3,B6,C6)</f>
        <v>000095</v>
      </c>
      <c r="E6" s="25">
        <f t="shared" ref="E6:E14" si="1">HEX2DEC(D6)</f>
        <v>149</v>
      </c>
      <c r="F6" s="18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f t="shared" ref="B7:B14" si="2">B6+C6</f>
        <v>7</v>
      </c>
      <c r="C7" s="24">
        <v>2</v>
      </c>
      <c r="D7" s="17" t="str">
        <f t="shared" si="0"/>
        <v>08</v>
      </c>
      <c r="E7" s="25">
        <f t="shared" si="1"/>
        <v>8</v>
      </c>
      <c r="F7" s="18" t="s">
        <v>15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si="2"/>
        <v>9</v>
      </c>
      <c r="C8" s="24">
        <v>2</v>
      </c>
      <c r="D8" s="17" t="str">
        <f t="shared" si="0"/>
        <v>0C</v>
      </c>
      <c r="E8" s="25">
        <f t="shared" si="1"/>
        <v>12</v>
      </c>
      <c r="F8" s="18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2"/>
        <v>11</v>
      </c>
      <c r="C9" s="24">
        <v>2</v>
      </c>
      <c r="D9" s="17" t="str">
        <f t="shared" si="0"/>
        <v>01</v>
      </c>
      <c r="E9" s="26" t="str">
        <f>HEX2BIN(D9,8)</f>
        <v>00000001</v>
      </c>
      <c r="F9" s="27" t="s">
        <v>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2"/>
        <v>13</v>
      </c>
      <c r="C10" s="24">
        <v>8</v>
      </c>
      <c r="D10" s="17" t="str">
        <f t="shared" si="0"/>
        <v>00000020</v>
      </c>
      <c r="E10" s="25">
        <f t="shared" si="1"/>
        <v>32</v>
      </c>
      <c r="F10" s="18" t="s">
        <v>16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2"/>
        <v>21</v>
      </c>
      <c r="C11" s="24">
        <v>8</v>
      </c>
      <c r="D11" s="17" t="str">
        <f t="shared" si="0"/>
        <v>00000017</v>
      </c>
      <c r="E11" s="25">
        <f t="shared" si="1"/>
        <v>23</v>
      </c>
      <c r="F11" s="18" t="s">
        <v>17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3">
      <c r="A12" s="4"/>
      <c r="B12" s="23">
        <f t="shared" si="2"/>
        <v>29</v>
      </c>
      <c r="C12" s="24">
        <v>8</v>
      </c>
      <c r="D12" s="17" t="str">
        <f t="shared" si="0"/>
        <v>0000001E</v>
      </c>
      <c r="E12" s="25">
        <f t="shared" si="1"/>
        <v>30</v>
      </c>
      <c r="F12" s="18" t="s">
        <v>18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</row>
    <row r="13" spans="1:24" x14ac:dyDescent="0.3">
      <c r="A13" s="4"/>
      <c r="B13" s="23">
        <f t="shared" si="2"/>
        <v>37</v>
      </c>
      <c r="C13" s="24">
        <v>4</v>
      </c>
      <c r="D13" s="17" t="str">
        <f t="shared" si="0"/>
        <v>0000</v>
      </c>
      <c r="E13" s="25">
        <f t="shared" si="1"/>
        <v>0</v>
      </c>
      <c r="F13" s="18" t="s">
        <v>10</v>
      </c>
      <c r="G13" s="29" t="str">
        <f>HEX2BIN(MID(D13,1,2),8)</f>
        <v>00000000</v>
      </c>
      <c r="H13" s="29" t="str">
        <f>HEX2BIN(MID(D13,3,2),8)</f>
        <v>00000000</v>
      </c>
      <c r="I13" s="51">
        <f>IF((MID($G13,1,1)="0"),0,1)</f>
        <v>0</v>
      </c>
      <c r="J13" s="51">
        <f>IF((MID($G13,2,1)="0"),0,1)</f>
        <v>0</v>
      </c>
      <c r="K13" s="51">
        <f>IF((MID($G13,3,1)="0"),0,1)</f>
        <v>0</v>
      </c>
      <c r="L13" s="51">
        <f>IF((MID($G13,4,1)="0"),0,1)</f>
        <v>0</v>
      </c>
      <c r="M13" s="51">
        <f>IF((MID($G13,5,1)="0"),0,1)</f>
        <v>0</v>
      </c>
      <c r="N13" s="30" t="str">
        <f>IF((MID($G13,6,1)="0"),"OC Leak OK","OC Leak Alm")</f>
        <v>OC Leak OK</v>
      </c>
      <c r="O13" s="30" t="str">
        <f>IF((MID($G13,7,1)="0"),"Ch2 Leak OK","Ch2 Leak Alm")</f>
        <v>Ch2 Leak OK</v>
      </c>
      <c r="P13" s="30" t="str">
        <f>IF((MID($G13,8,1)="0"),"Ch1 Leak OK","Ch1 Leak Alm")</f>
        <v>Ch1 Leak OK</v>
      </c>
      <c r="Q13" s="51">
        <f>IF((MID($H13,1,1)="0"),0,1)</f>
        <v>0</v>
      </c>
      <c r="R13" s="31" t="str">
        <f>IF((MID($H13,2,1)="0"),"OC Lo Flow OK","OC Lo Flow Alm")</f>
        <v>OC Lo Flow OK</v>
      </c>
      <c r="S13" s="31" t="str">
        <f>IF((MID($H13,3,1)="0"),"Ch2 Lo Flow OK","Ch2 Lo Flow Alm")</f>
        <v>Ch2 Lo Flow OK</v>
      </c>
      <c r="T13" s="31" t="str">
        <f>IF((MID($H13,4,1)="0"),"Ch1 Lo Flow OK","Ch1 Lo Flow Alm")</f>
        <v>Ch1 Lo Flow OK</v>
      </c>
      <c r="U13" s="51">
        <f>IF((MID($H13,5,1)="0"),0,1)</f>
        <v>0</v>
      </c>
      <c r="V13" s="32" t="str">
        <f>IF((MID($H13,6,1)="0"),"OC Hi Flow OK","OC Hi Flow Alm")</f>
        <v>OC Hi Flow OK</v>
      </c>
      <c r="W13" s="32" t="str">
        <f>IF((MID($H13,7,1)="0"),"Ch2 Hi Flow OK","Ch2 Hi Flow Alm")</f>
        <v>Ch2 Hi Flow OK</v>
      </c>
      <c r="X13" s="45" t="str">
        <f>IF((MID($H13,8,1)="0"),"Ch1 Hi Flow OK","Ch1 Hi Flow Alm")</f>
        <v>Ch1 Hi Flow OK</v>
      </c>
    </row>
    <row r="14" spans="1:24" x14ac:dyDescent="0.3">
      <c r="A14" s="4"/>
      <c r="B14" s="23">
        <f t="shared" si="2"/>
        <v>41</v>
      </c>
      <c r="C14" s="24">
        <v>4</v>
      </c>
      <c r="D14" s="17" t="str">
        <f t="shared" si="0"/>
        <v>0000</v>
      </c>
      <c r="E14" s="25">
        <f t="shared" si="1"/>
        <v>0</v>
      </c>
      <c r="F14" s="33" t="s">
        <v>0</v>
      </c>
      <c r="G14" s="29" t="str">
        <f>HEX2BIN(MID(D14,1,2),8)</f>
        <v>00000000</v>
      </c>
      <c r="H14" s="29" t="str">
        <f>HEX2BIN(MID(D14,3,2),8)</f>
        <v>00000000</v>
      </c>
      <c r="I14" s="51">
        <f>IF((MID($G14,1,1)="0"),0,1)</f>
        <v>0</v>
      </c>
      <c r="J14" s="51">
        <f>IF((MID($G14,2,1)="0"),0,1)</f>
        <v>0</v>
      </c>
      <c r="K14" s="51">
        <f>IF((MID($G14,3,1)="0"),0,1)</f>
        <v>0</v>
      </c>
      <c r="L14" s="51">
        <f>IF((MID($G14,4,1)="0"),0,1)</f>
        <v>0</v>
      </c>
      <c r="M14" s="51">
        <f>IF((MID($G14,5,1)="0"),0,1)</f>
        <v>0</v>
      </c>
      <c r="N14" s="51">
        <f>IF((MID($G14,6,1)="0"),0,1)</f>
        <v>0</v>
      </c>
      <c r="O14" s="51">
        <f>IF((MID($G14,7,1)="0"),0,1)</f>
        <v>0</v>
      </c>
      <c r="P14" s="51">
        <f>IF((MID($G14,8,1)="0"),0,1)</f>
        <v>0</v>
      </c>
      <c r="Q14" s="31" t="str">
        <f>IF((MID($H14,1,1)="0"),"OC Open","OC Closed")</f>
        <v>OC Open</v>
      </c>
      <c r="R14" s="31" t="str">
        <f>IF((MID($H14,2,1)="0"),"Ch2 Open","Ch2 Closed")</f>
        <v>Ch2 Open</v>
      </c>
      <c r="S14" s="31" t="str">
        <f>IF((MID($H14,3,1)="0"),"Ch1 Open","Ch1 Closed")</f>
        <v>Ch1 Open</v>
      </c>
      <c r="T14" s="31">
        <f>IF((MID($H14,4,1)="0"),0,1)</f>
        <v>0</v>
      </c>
      <c r="U14" s="5">
        <f>IF((MID($H14,5,1)="0"),0,1)</f>
        <v>0</v>
      </c>
      <c r="V14" s="6">
        <f>IF((MID($H14,6,1)="0"),0,1)</f>
        <v>0</v>
      </c>
      <c r="W14" s="32">
        <f>IF((MID($H14,7,1)="0"),0,1)</f>
        <v>0</v>
      </c>
      <c r="X14" s="45" t="str">
        <f>IF((MID($H14,8,1)="0"),"Normal","Alarm")</f>
        <v>Normal</v>
      </c>
    </row>
    <row r="15" spans="1:24" ht="15" customHeight="1" x14ac:dyDescent="0.3">
      <c r="A15" s="4"/>
      <c r="B15" s="23"/>
      <c r="C15" s="24"/>
      <c r="D15" s="17"/>
      <c r="E15" s="25"/>
      <c r="F15" s="46"/>
      <c r="G15" s="47"/>
      <c r="H15" s="48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8" t="s">
        <v>155</v>
      </c>
      <c r="V15" s="89"/>
      <c r="W15" s="67"/>
      <c r="X15" s="68"/>
    </row>
    <row r="16" spans="1:24" x14ac:dyDescent="0.3">
      <c r="A16" s="4"/>
      <c r="B16" s="23"/>
      <c r="C16" s="24"/>
      <c r="D16" s="17"/>
      <c r="E16" s="28"/>
      <c r="F16" s="1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90"/>
      <c r="V16" s="89"/>
      <c r="W16" s="67"/>
      <c r="X16" s="68"/>
    </row>
    <row r="17" spans="2:24" x14ac:dyDescent="0.3">
      <c r="B17" s="34"/>
      <c r="C17" s="14"/>
      <c r="D17" s="14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0"/>
      <c r="V17" s="89"/>
      <c r="W17" s="67"/>
      <c r="X17" s="68"/>
    </row>
    <row r="18" spans="2:24" x14ac:dyDescent="0.3">
      <c r="B18" s="34"/>
      <c r="C18" s="14"/>
      <c r="D18" s="14"/>
      <c r="E18" s="28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0"/>
      <c r="V18" s="89"/>
      <c r="W18" s="67"/>
      <c r="X18" s="68"/>
    </row>
    <row r="19" spans="2:24" x14ac:dyDescent="0.3">
      <c r="B19" s="34"/>
      <c r="C19" s="14"/>
      <c r="D19" s="14"/>
      <c r="E19" s="28"/>
      <c r="F19" s="1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90"/>
      <c r="V19" s="89"/>
      <c r="W19" s="67"/>
      <c r="X19" s="68"/>
    </row>
    <row r="20" spans="2:24" x14ac:dyDescent="0.3">
      <c r="B20" s="34"/>
      <c r="C20" s="14"/>
      <c r="D20" s="14"/>
      <c r="E20" s="17"/>
      <c r="F20" s="18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91"/>
      <c r="V20" s="92"/>
      <c r="W20" s="67"/>
      <c r="X20" s="68"/>
    </row>
    <row r="21" spans="2:24" ht="15" thickBot="1" x14ac:dyDescent="0.35">
      <c r="B21" s="35"/>
      <c r="C21" s="36"/>
      <c r="D21" s="36"/>
      <c r="E21" s="37"/>
      <c r="F21" s="38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9"/>
    </row>
    <row r="22" spans="2:24" ht="15" thickTop="1" x14ac:dyDescent="0.3"/>
    <row r="24" spans="2:24" ht="15" thickBot="1" x14ac:dyDescent="0.35"/>
    <row r="25" spans="2:24" ht="27" thickTop="1" thickBot="1" x14ac:dyDescent="0.55000000000000004">
      <c r="B25" s="85" t="s">
        <v>92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</row>
    <row r="26" spans="2:24" ht="39" customHeight="1" thickTop="1" x14ac:dyDescent="0.35">
      <c r="B26" s="81" t="s">
        <v>93</v>
      </c>
      <c r="C26" s="82"/>
      <c r="D26" s="82"/>
      <c r="E26" s="103" t="s">
        <v>62</v>
      </c>
      <c r="F26" s="104"/>
      <c r="G26" s="105"/>
      <c r="H26" s="41" t="s">
        <v>42</v>
      </c>
      <c r="I26" s="98" t="s">
        <v>43</v>
      </c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99"/>
      <c r="V26" s="99"/>
      <c r="W26" s="100"/>
    </row>
    <row r="27" spans="2:24" x14ac:dyDescent="0.3">
      <c r="B27" s="83"/>
      <c r="C27" s="84"/>
      <c r="D27" s="84"/>
      <c r="E27" s="108"/>
      <c r="F27" s="84"/>
      <c r="G27" s="40"/>
      <c r="H27" s="40"/>
      <c r="I27" s="101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102"/>
    </row>
    <row r="28" spans="2:24" x14ac:dyDescent="0.3">
      <c r="B28" s="93" t="s">
        <v>41</v>
      </c>
      <c r="C28" s="84"/>
      <c r="D28" s="84"/>
      <c r="E28" s="106" t="s">
        <v>46</v>
      </c>
      <c r="F28" s="84"/>
      <c r="G28" s="51">
        <v>0</v>
      </c>
      <c r="H28" s="29" t="str">
        <f>DEC2HEX(G28,6)</f>
        <v>000000</v>
      </c>
      <c r="I28" s="96" t="str">
        <f>H28&amp;H29&amp;H30&amp;H31&amp;H32&amp;H33&amp;H34&amp;H35&amp;H36&amp;H37&amp;H38&amp;H39&amp;H40&amp;H41&amp;H42&amp;H43&amp;H44&amp;H45&amp;H46</f>
        <v>000000030000012C000000000064000A0001000F00C8001400020019012C001E0003002301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6"/>
      <c r="V28" s="96"/>
      <c r="W28" s="97"/>
    </row>
    <row r="29" spans="2:24" x14ac:dyDescent="0.3">
      <c r="B29" s="93" t="s">
        <v>60</v>
      </c>
      <c r="C29" s="84"/>
      <c r="D29" s="84"/>
      <c r="E29" s="106" t="s">
        <v>45</v>
      </c>
      <c r="F29" s="84"/>
      <c r="G29" s="29">
        <v>3</v>
      </c>
      <c r="H29" s="29" t="str">
        <f>DEC2HEX(G29,2)</f>
        <v>03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6"/>
      <c r="V29" s="96"/>
      <c r="W29" s="97"/>
    </row>
    <row r="30" spans="2:24" x14ac:dyDescent="0.3">
      <c r="B30" s="93" t="s">
        <v>41</v>
      </c>
      <c r="C30" s="84"/>
      <c r="D30" s="84"/>
      <c r="E30" s="106" t="s">
        <v>46</v>
      </c>
      <c r="F30" s="84"/>
      <c r="G30" s="29">
        <v>0</v>
      </c>
      <c r="H30" s="29" t="str">
        <f>DEC2HEX(G30,4)</f>
        <v>0000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2:24" x14ac:dyDescent="0.3">
      <c r="B31" s="93" t="s">
        <v>61</v>
      </c>
      <c r="C31" s="84"/>
      <c r="D31" s="84"/>
      <c r="E31" s="106" t="s">
        <v>44</v>
      </c>
      <c r="F31" s="84"/>
      <c r="G31" s="42">
        <v>5</v>
      </c>
      <c r="H31" s="29" t="str">
        <f>DEC2HEX(G31*60,4)</f>
        <v>012C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2:24" x14ac:dyDescent="0.3">
      <c r="B32" s="93" t="s">
        <v>41</v>
      </c>
      <c r="C32" s="84"/>
      <c r="D32" s="84"/>
      <c r="E32" s="106" t="s">
        <v>46</v>
      </c>
      <c r="F32" s="84"/>
      <c r="G32" s="73">
        <v>0</v>
      </c>
      <c r="H32" s="29" t="str">
        <f t="shared" ref="H32" si="3">DEC2HEX(G32,4)</f>
        <v>0000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41</v>
      </c>
      <c r="C33" s="84"/>
      <c r="D33" s="84"/>
      <c r="E33" s="106" t="s">
        <v>46</v>
      </c>
      <c r="F33" s="84"/>
      <c r="G33" s="73">
        <v>0</v>
      </c>
      <c r="H33" s="29" t="str">
        <f>DEC2HEX(G33*3600,4)</f>
        <v>0000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48</v>
      </c>
      <c r="C34" s="84"/>
      <c r="D34" s="84"/>
      <c r="E34" s="114" t="s">
        <v>78</v>
      </c>
      <c r="F34" s="114"/>
      <c r="G34" s="50">
        <v>100</v>
      </c>
      <c r="H34" s="29" t="str">
        <f>DEC2HEX(G34,4)</f>
        <v>0064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3" t="s">
        <v>49</v>
      </c>
      <c r="C35" s="84"/>
      <c r="D35" s="84"/>
      <c r="E35" s="114" t="s">
        <v>79</v>
      </c>
      <c r="F35" s="114"/>
      <c r="G35" s="50">
        <v>10</v>
      </c>
      <c r="H35" s="29" t="str">
        <f>DEC2HEX(G35,4)</f>
        <v>000A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3" t="s">
        <v>50</v>
      </c>
      <c r="C36" s="84"/>
      <c r="D36" s="84"/>
      <c r="E36" s="114" t="s">
        <v>80</v>
      </c>
      <c r="F36" s="114"/>
      <c r="G36" s="50">
        <v>1</v>
      </c>
      <c r="H36" s="29" t="str">
        <f>DEC2HEX(G36,4)</f>
        <v>0001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5" t="s">
        <v>51</v>
      </c>
      <c r="C37" s="84"/>
      <c r="D37" s="84"/>
      <c r="E37" s="115" t="s">
        <v>81</v>
      </c>
      <c r="F37" s="114"/>
      <c r="G37" s="50">
        <v>15</v>
      </c>
      <c r="H37" s="29" t="str">
        <f>DEC2HEX(G37,4)</f>
        <v>000F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4" t="s">
        <v>52</v>
      </c>
      <c r="C38" s="84"/>
      <c r="D38" s="84"/>
      <c r="E38" s="114" t="s">
        <v>82</v>
      </c>
      <c r="F38" s="114"/>
      <c r="G38" s="50">
        <v>200</v>
      </c>
      <c r="H38" s="29" t="str">
        <f t="shared" ref="H38:H45" si="4">DEC2HEX(G38,4)</f>
        <v>00C8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53</v>
      </c>
      <c r="C39" s="84"/>
      <c r="D39" s="84"/>
      <c r="E39" s="114" t="s">
        <v>83</v>
      </c>
      <c r="F39" s="114"/>
      <c r="G39" s="50">
        <v>20</v>
      </c>
      <c r="H39" s="29" t="str">
        <f t="shared" si="4"/>
        <v>0014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54</v>
      </c>
      <c r="C40" s="84"/>
      <c r="D40" s="84"/>
      <c r="E40" s="114" t="s">
        <v>84</v>
      </c>
      <c r="F40" s="114"/>
      <c r="G40" s="50">
        <v>2</v>
      </c>
      <c r="H40" s="29" t="str">
        <f t="shared" si="4"/>
        <v>0002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55</v>
      </c>
      <c r="C41" s="84"/>
      <c r="D41" s="84"/>
      <c r="E41" s="115" t="s">
        <v>85</v>
      </c>
      <c r="F41" s="114"/>
      <c r="G41" s="50">
        <v>25</v>
      </c>
      <c r="H41" s="29" t="str">
        <f t="shared" si="4"/>
        <v>0019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56</v>
      </c>
      <c r="C42" s="84"/>
      <c r="D42" s="84"/>
      <c r="E42" s="114" t="s">
        <v>86</v>
      </c>
      <c r="F42" s="114"/>
      <c r="G42" s="50">
        <v>300</v>
      </c>
      <c r="H42" s="29" t="str">
        <f t="shared" si="4"/>
        <v>012C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57</v>
      </c>
      <c r="C43" s="84"/>
      <c r="D43" s="84"/>
      <c r="E43" s="114" t="s">
        <v>87</v>
      </c>
      <c r="F43" s="114"/>
      <c r="G43" s="50">
        <v>30</v>
      </c>
      <c r="H43" s="29" t="str">
        <f t="shared" si="4"/>
        <v>001E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58</v>
      </c>
      <c r="C44" s="84"/>
      <c r="D44" s="84"/>
      <c r="E44" s="114" t="s">
        <v>88</v>
      </c>
      <c r="F44" s="114"/>
      <c r="G44" s="50">
        <v>3</v>
      </c>
      <c r="H44" s="29" t="str">
        <f t="shared" si="4"/>
        <v>0003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x14ac:dyDescent="0.3">
      <c r="B45" s="94" t="s">
        <v>59</v>
      </c>
      <c r="C45" s="84"/>
      <c r="D45" s="84"/>
      <c r="E45" s="115" t="s">
        <v>89</v>
      </c>
      <c r="F45" s="114"/>
      <c r="G45" s="50">
        <v>35</v>
      </c>
      <c r="H45" s="29" t="str">
        <f t="shared" si="4"/>
        <v>0023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</row>
    <row r="46" spans="2:23" x14ac:dyDescent="0.3">
      <c r="B46" s="94" t="s">
        <v>41</v>
      </c>
      <c r="C46" s="84"/>
      <c r="D46" s="84"/>
      <c r="E46" s="106" t="s">
        <v>47</v>
      </c>
      <c r="F46" s="84"/>
      <c r="G46" s="29">
        <v>1</v>
      </c>
      <c r="H46" s="29" t="str">
        <f>DEC2HEX(G46,2)</f>
        <v>01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5"/>
    </row>
    <row r="47" spans="2:23" ht="15" thickBot="1" x14ac:dyDescent="0.35">
      <c r="B47" s="35"/>
      <c r="C47" s="36"/>
      <c r="D47" s="36"/>
      <c r="E47" s="37"/>
      <c r="F47" s="38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9"/>
    </row>
    <row r="48" spans="2:23" ht="15" thickTop="1" x14ac:dyDescent="0.3"/>
  </sheetData>
  <mergeCells count="49">
    <mergeCell ref="B42:D42"/>
    <mergeCell ref="B43:D43"/>
    <mergeCell ref="B39:D39"/>
    <mergeCell ref="B40:D40"/>
    <mergeCell ref="B41:D41"/>
    <mergeCell ref="E43:F43"/>
    <mergeCell ref="E42:F42"/>
    <mergeCell ref="E41:F41"/>
    <mergeCell ref="E40:F40"/>
    <mergeCell ref="E39:F39"/>
    <mergeCell ref="B45:D45"/>
    <mergeCell ref="E45:F45"/>
    <mergeCell ref="B46:D46"/>
    <mergeCell ref="E46:F46"/>
    <mergeCell ref="E44:F44"/>
    <mergeCell ref="B44:D44"/>
    <mergeCell ref="B38:D38"/>
    <mergeCell ref="B33:D33"/>
    <mergeCell ref="E33:F33"/>
    <mergeCell ref="B34:D34"/>
    <mergeCell ref="E34:F34"/>
    <mergeCell ref="B35:D35"/>
    <mergeCell ref="E35:F35"/>
    <mergeCell ref="E38:F38"/>
    <mergeCell ref="E37:F37"/>
    <mergeCell ref="E36:F36"/>
    <mergeCell ref="B36:D36"/>
    <mergeCell ref="B37:D37"/>
    <mergeCell ref="B30:D30"/>
    <mergeCell ref="E30:F30"/>
    <mergeCell ref="B31:D31"/>
    <mergeCell ref="E31:F31"/>
    <mergeCell ref="B32:D32"/>
    <mergeCell ref="E32:F32"/>
    <mergeCell ref="B27:D27"/>
    <mergeCell ref="E27:F27"/>
    <mergeCell ref="I27:W27"/>
    <mergeCell ref="B28:D28"/>
    <mergeCell ref="E28:F28"/>
    <mergeCell ref="I28:W29"/>
    <mergeCell ref="B29:D29"/>
    <mergeCell ref="E29:F29"/>
    <mergeCell ref="B2:E2"/>
    <mergeCell ref="B3:F3"/>
    <mergeCell ref="B26:D26"/>
    <mergeCell ref="E26:G26"/>
    <mergeCell ref="I26:W26"/>
    <mergeCell ref="B25:W25"/>
    <mergeCell ref="U15:V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0BBDE-A128-EA43-9C9E-B12F94AE4B9D}">
  <dimension ref="A1:X48"/>
  <sheetViews>
    <sheetView topLeftCell="A13" workbookViewId="0">
      <selection activeCell="B32" sqref="B32:G32"/>
    </sheetView>
  </sheetViews>
  <sheetFormatPr baseColWidth="10" defaultColWidth="10.77734375" defaultRowHeight="14.4" x14ac:dyDescent="0.3"/>
  <cols>
    <col min="1" max="1" width="15" style="2" customWidth="1"/>
    <col min="2" max="2" width="7.77734375" style="2" customWidth="1"/>
    <col min="3" max="3" width="7" style="2" customWidth="1"/>
    <col min="4" max="4" width="14.6640625" style="2" customWidth="1"/>
    <col min="5" max="5" width="13" style="1" customWidth="1"/>
    <col min="6" max="6" width="27" style="3" customWidth="1"/>
    <col min="7" max="7" width="9.6640625" style="2" customWidth="1"/>
    <col min="8" max="8" width="10.6640625" style="2" customWidth="1"/>
    <col min="9" max="13" width="7.77734375" style="2" customWidth="1"/>
    <col min="14" max="14" width="12" style="2" customWidth="1"/>
    <col min="15" max="15" width="12.33203125" style="2" customWidth="1"/>
    <col min="16" max="17" width="12.6640625" style="2" customWidth="1"/>
    <col min="18" max="18" width="14.44140625" style="2" customWidth="1"/>
    <col min="19" max="19" width="13.44140625" style="2" customWidth="1"/>
    <col min="20" max="20" width="13.109375" style="2" customWidth="1"/>
    <col min="21" max="21" width="7.77734375" style="2" customWidth="1"/>
    <col min="22" max="22" width="13.109375" style="2" customWidth="1"/>
    <col min="23" max="23" width="14.44140625" style="2" customWidth="1"/>
    <col min="24" max="24" width="13.6640625" style="2" customWidth="1"/>
    <col min="25" max="16384" width="10.77734375" style="2"/>
  </cols>
  <sheetData>
    <row r="1" spans="1:24" ht="15" thickBot="1" x14ac:dyDescent="0.35"/>
    <row r="2" spans="1:24" ht="18.600000000000001" thickTop="1" x14ac:dyDescent="0.35">
      <c r="B2" s="109" t="s">
        <v>39</v>
      </c>
      <c r="C2" s="110"/>
      <c r="D2" s="110"/>
      <c r="E2" s="110"/>
      <c r="F2" s="4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"/>
    </row>
    <row r="3" spans="1:24" ht="18" x14ac:dyDescent="0.35">
      <c r="A3" s="4"/>
      <c r="B3" s="111" t="s">
        <v>30</v>
      </c>
      <c r="C3" s="112"/>
      <c r="D3" s="112"/>
      <c r="E3" s="112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</row>
    <row r="4" spans="1:24" x14ac:dyDescent="0.3">
      <c r="A4" s="4"/>
      <c r="B4" s="16"/>
      <c r="C4" s="14"/>
      <c r="D4" s="14"/>
      <c r="E4" s="17"/>
      <c r="F4" s="1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x14ac:dyDescent="0.3">
      <c r="B5" s="19" t="s">
        <v>3</v>
      </c>
      <c r="C5" s="20" t="s">
        <v>2</v>
      </c>
      <c r="D5" s="21" t="s">
        <v>1</v>
      </c>
      <c r="E5" s="22" t="s">
        <v>40</v>
      </c>
      <c r="F5" s="1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</row>
    <row r="6" spans="1:24" x14ac:dyDescent="0.3">
      <c r="A6" s="4"/>
      <c r="B6" s="23">
        <v>1</v>
      </c>
      <c r="C6" s="24">
        <v>6</v>
      </c>
      <c r="D6" s="17" t="str">
        <f t="shared" ref="D6:D14" si="0">MID($B$3,B6,C6)</f>
        <v>0000A0</v>
      </c>
      <c r="E6" s="25">
        <f t="shared" ref="E6:E14" si="1">HEX2DEC(D6)</f>
        <v>160</v>
      </c>
      <c r="F6" s="18" t="s">
        <v>37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4" x14ac:dyDescent="0.3">
      <c r="A7" s="4"/>
      <c r="B7" s="23">
        <f t="shared" ref="B7:B14" si="2">B6+C6</f>
        <v>7</v>
      </c>
      <c r="C7" s="24">
        <v>2</v>
      </c>
      <c r="D7" s="17" t="str">
        <f t="shared" si="0"/>
        <v>09</v>
      </c>
      <c r="E7" s="25">
        <f t="shared" si="1"/>
        <v>9</v>
      </c>
      <c r="F7" s="18" t="s">
        <v>19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4" x14ac:dyDescent="0.3">
      <c r="A8" s="4"/>
      <c r="B8" s="23">
        <f t="shared" si="2"/>
        <v>9</v>
      </c>
      <c r="C8" s="24">
        <v>2</v>
      </c>
      <c r="D8" s="17" t="str">
        <f t="shared" si="0"/>
        <v>0D</v>
      </c>
      <c r="E8" s="25">
        <f t="shared" si="1"/>
        <v>13</v>
      </c>
      <c r="F8" s="18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4" x14ac:dyDescent="0.3">
      <c r="A9" s="4"/>
      <c r="B9" s="23">
        <f t="shared" si="2"/>
        <v>11</v>
      </c>
      <c r="C9" s="24">
        <v>2</v>
      </c>
      <c r="D9" s="17" t="str">
        <f t="shared" si="0"/>
        <v>01</v>
      </c>
      <c r="E9" s="26" t="str">
        <f>HEX2BIN(D9,8)</f>
        <v>00000001</v>
      </c>
      <c r="F9" s="27" t="s">
        <v>38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24" x14ac:dyDescent="0.3">
      <c r="A10" s="4"/>
      <c r="B10" s="23">
        <f t="shared" si="2"/>
        <v>13</v>
      </c>
      <c r="C10" s="24">
        <v>8</v>
      </c>
      <c r="D10" s="17" t="str">
        <f t="shared" si="0"/>
        <v>00000012</v>
      </c>
      <c r="E10" s="25">
        <f t="shared" si="1"/>
        <v>18</v>
      </c>
      <c r="F10" s="18" t="s">
        <v>16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24" x14ac:dyDescent="0.3">
      <c r="A11" s="4"/>
      <c r="B11" s="23">
        <f t="shared" si="2"/>
        <v>21</v>
      </c>
      <c r="C11" s="24">
        <v>8</v>
      </c>
      <c r="D11" s="17" t="str">
        <f t="shared" si="0"/>
        <v>0000001A</v>
      </c>
      <c r="E11" s="25">
        <f t="shared" si="1"/>
        <v>26</v>
      </c>
      <c r="F11" s="18" t="s">
        <v>17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24" x14ac:dyDescent="0.3">
      <c r="A12" s="4"/>
      <c r="B12" s="23">
        <f t="shared" si="2"/>
        <v>29</v>
      </c>
      <c r="C12" s="24">
        <v>8</v>
      </c>
      <c r="D12" s="17" t="str">
        <f t="shared" si="0"/>
        <v>00000018</v>
      </c>
      <c r="E12" s="25">
        <f t="shared" si="1"/>
        <v>24</v>
      </c>
      <c r="F12" s="18" t="s">
        <v>18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</row>
    <row r="13" spans="1:24" x14ac:dyDescent="0.3">
      <c r="A13" s="4"/>
      <c r="B13" s="23">
        <f t="shared" si="2"/>
        <v>37</v>
      </c>
      <c r="C13" s="24">
        <v>4</v>
      </c>
      <c r="D13" s="17" t="str">
        <f t="shared" si="0"/>
        <v>0000</v>
      </c>
      <c r="E13" s="25">
        <f t="shared" si="1"/>
        <v>0</v>
      </c>
      <c r="F13" s="18" t="s">
        <v>10</v>
      </c>
      <c r="G13" s="29" t="str">
        <f>HEX2BIN(MID(D13,1,2),8)</f>
        <v>00000000</v>
      </c>
      <c r="H13" s="29" t="str">
        <f>HEX2BIN(MID(D13,3,2),8)</f>
        <v>00000000</v>
      </c>
      <c r="I13" s="51">
        <f>IF((MID($G13,1,1)="0"),0,1)</f>
        <v>0</v>
      </c>
      <c r="J13" s="51">
        <f>IF((MID($G13,2,1)="0"),0,1)</f>
        <v>0</v>
      </c>
      <c r="K13" s="51">
        <f>IF((MID($G13,3,1)="0"),0,1)</f>
        <v>0</v>
      </c>
      <c r="L13" s="51">
        <f>IF((MID($G13,4,1)="0"),0,1)</f>
        <v>0</v>
      </c>
      <c r="M13" s="51">
        <f>IF((MID($G13,5,1)="0"),0,1)</f>
        <v>0</v>
      </c>
      <c r="N13" s="30" t="str">
        <f>IF((MID($G13,6,1)="0"),"OC Leak OK","OC Leak Alm")</f>
        <v>OC Leak OK</v>
      </c>
      <c r="O13" s="30" t="str">
        <f>IF((MID($G13,7,1)="0"),"Ch2 Leak OK","Ch2 Leak Alm")</f>
        <v>Ch2 Leak OK</v>
      </c>
      <c r="P13" s="30" t="str">
        <f>IF((MID($G13,8,1)="0"),"Ch1 Leak OK","Ch1 Leak Alm")</f>
        <v>Ch1 Leak OK</v>
      </c>
      <c r="Q13" s="51">
        <f>IF((MID($H13,1,1)="0"),0,1)</f>
        <v>0</v>
      </c>
      <c r="R13" s="31" t="str">
        <f>IF((MID($H13,2,1)="0"),"OC Lo Flow OK","OC Lo Flow Alm")</f>
        <v>OC Lo Flow OK</v>
      </c>
      <c r="S13" s="31" t="str">
        <f>IF((MID($H13,3,1)="0"),"Ch2 Lo Flow OK","Ch2 Lo Flow Alm")</f>
        <v>Ch2 Lo Flow OK</v>
      </c>
      <c r="T13" s="31" t="str">
        <f>IF((MID($H13,4,1)="0"),"Ch1 Lo Flow OK","Ch1 Lo Flow Alm")</f>
        <v>Ch1 Lo Flow OK</v>
      </c>
      <c r="U13" s="51">
        <f>IF((MID($H13,5,1)="0"),0,1)</f>
        <v>0</v>
      </c>
      <c r="V13" s="32" t="str">
        <f>IF((MID($H13,6,1)="0"),"OC Hi Flow OK","OC Hi Flow Alm")</f>
        <v>OC Hi Flow OK</v>
      </c>
      <c r="W13" s="32" t="str">
        <f>IF((MID($H13,7,1)="0"),"Ch2 Hi Flow OK","Ch2 Hi Flow Alm")</f>
        <v>Ch2 Hi Flow OK</v>
      </c>
      <c r="X13" s="45" t="str">
        <f>IF((MID($H13,8,1)="0"),"Ch1 Hi Flow OK","Ch1 Hi Flow Alm")</f>
        <v>Ch1 Hi Flow OK</v>
      </c>
    </row>
    <row r="14" spans="1:24" x14ac:dyDescent="0.3">
      <c r="A14" s="4"/>
      <c r="B14" s="23">
        <f t="shared" si="2"/>
        <v>41</v>
      </c>
      <c r="C14" s="24">
        <v>4</v>
      </c>
      <c r="D14" s="17" t="str">
        <f t="shared" si="0"/>
        <v>0000</v>
      </c>
      <c r="E14" s="25">
        <f t="shared" si="1"/>
        <v>0</v>
      </c>
      <c r="F14" s="33" t="s">
        <v>0</v>
      </c>
      <c r="G14" s="29" t="str">
        <f>HEX2BIN(MID(D14,1,2),8)</f>
        <v>00000000</v>
      </c>
      <c r="H14" s="29" t="str">
        <f>HEX2BIN(MID(D14,3,2),8)</f>
        <v>00000000</v>
      </c>
      <c r="I14" s="51">
        <f>IF((MID($G14,1,1)="0"),0,1)</f>
        <v>0</v>
      </c>
      <c r="J14" s="51">
        <f>IF((MID($G14,2,1)="0"),0,1)</f>
        <v>0</v>
      </c>
      <c r="K14" s="51">
        <f>IF((MID($G14,3,1)="0"),0,1)</f>
        <v>0</v>
      </c>
      <c r="L14" s="51">
        <f>IF((MID($G14,4,1)="0"),0,1)</f>
        <v>0</v>
      </c>
      <c r="M14" s="51">
        <f>IF((MID($G14,5,1)="0"),0,1)</f>
        <v>0</v>
      </c>
      <c r="N14" s="51">
        <f>IF((MID($G14,6,1)="0"),0,1)</f>
        <v>0</v>
      </c>
      <c r="O14" s="51">
        <f>IF((MID($G14,7,1)="0"),0,1)</f>
        <v>0</v>
      </c>
      <c r="P14" s="51">
        <f>IF((MID($G14,8,1)="0"),0,1)</f>
        <v>0</v>
      </c>
      <c r="Q14" s="31" t="str">
        <f>IF((MID($H14,1,1)="0"),"OC Open","OC Closed")</f>
        <v>OC Open</v>
      </c>
      <c r="R14" s="31" t="str">
        <f>IF((MID($H14,2,1)="0"),"Ch2 Open","Ch2 Closed")</f>
        <v>Ch2 Open</v>
      </c>
      <c r="S14" s="31" t="str">
        <f>IF((MID($H14,3,1)="0"),"Ch1 Open","Ch1 Closed")</f>
        <v>Ch1 Open</v>
      </c>
      <c r="T14" s="31">
        <f>IF((MID($H14,4,1)="0"),0,1)</f>
        <v>0</v>
      </c>
      <c r="U14" s="5">
        <f>IF((MID($H14,5,1)="0"),0,1)</f>
        <v>0</v>
      </c>
      <c r="V14" s="6">
        <f>IF((MID($H14,6,1)="0"),0,1)</f>
        <v>0</v>
      </c>
      <c r="W14" s="32">
        <f>IF((MID($H14,7,1)="0"),0,1)</f>
        <v>0</v>
      </c>
      <c r="X14" s="45" t="str">
        <f>IF((MID($H14,8,1)="0"),"Normal","Alarm")</f>
        <v>Normal</v>
      </c>
    </row>
    <row r="15" spans="1:24" ht="15" customHeight="1" x14ac:dyDescent="0.3">
      <c r="A15" s="4"/>
      <c r="B15" s="23"/>
      <c r="C15" s="24"/>
      <c r="D15" s="17"/>
      <c r="E15" s="25"/>
      <c r="F15" s="46"/>
      <c r="G15" s="47"/>
      <c r="H15" s="48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8" t="s">
        <v>155</v>
      </c>
      <c r="V15" s="89"/>
      <c r="W15" s="67"/>
      <c r="X15" s="68"/>
    </row>
    <row r="16" spans="1:24" x14ac:dyDescent="0.3">
      <c r="A16" s="4"/>
      <c r="B16" s="23"/>
      <c r="C16" s="24"/>
      <c r="D16" s="17"/>
      <c r="E16" s="28"/>
      <c r="F16" s="1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90"/>
      <c r="V16" s="89"/>
      <c r="W16" s="67"/>
      <c r="X16" s="68"/>
    </row>
    <row r="17" spans="2:24" x14ac:dyDescent="0.3">
      <c r="B17" s="34"/>
      <c r="C17" s="14"/>
      <c r="D17" s="14"/>
      <c r="E17" s="28"/>
      <c r="F17" s="1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0"/>
      <c r="V17" s="89"/>
      <c r="W17" s="67"/>
      <c r="X17" s="68"/>
    </row>
    <row r="18" spans="2:24" x14ac:dyDescent="0.3">
      <c r="B18" s="34"/>
      <c r="C18" s="14"/>
      <c r="D18" s="14"/>
      <c r="E18" s="28"/>
      <c r="F18" s="18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0"/>
      <c r="V18" s="89"/>
      <c r="W18" s="67"/>
      <c r="X18" s="68"/>
    </row>
    <row r="19" spans="2:24" x14ac:dyDescent="0.3">
      <c r="B19" s="34"/>
      <c r="C19" s="14"/>
      <c r="D19" s="14"/>
      <c r="E19" s="28"/>
      <c r="F19" s="18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90"/>
      <c r="V19" s="89"/>
      <c r="W19" s="67"/>
      <c r="X19" s="68"/>
    </row>
    <row r="20" spans="2:24" x14ac:dyDescent="0.3">
      <c r="B20" s="34"/>
      <c r="C20" s="14"/>
      <c r="D20" s="14"/>
      <c r="E20" s="17"/>
      <c r="F20" s="18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91"/>
      <c r="V20" s="92"/>
      <c r="W20" s="67"/>
      <c r="X20" s="68"/>
    </row>
    <row r="21" spans="2:24" ht="15" thickBot="1" x14ac:dyDescent="0.35">
      <c r="B21" s="35"/>
      <c r="C21" s="36"/>
      <c r="D21" s="36"/>
      <c r="E21" s="37"/>
      <c r="F21" s="38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9"/>
    </row>
    <row r="22" spans="2:24" ht="15" thickTop="1" x14ac:dyDescent="0.3"/>
    <row r="24" spans="2:24" ht="15" thickBot="1" x14ac:dyDescent="0.35"/>
    <row r="25" spans="2:24" ht="27" thickTop="1" thickBot="1" x14ac:dyDescent="0.55000000000000004">
      <c r="B25" s="85" t="s">
        <v>92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</row>
    <row r="26" spans="2:24" ht="45" customHeight="1" thickTop="1" x14ac:dyDescent="0.35">
      <c r="B26" s="81" t="s">
        <v>93</v>
      </c>
      <c r="C26" s="82"/>
      <c r="D26" s="82"/>
      <c r="E26" s="103" t="s">
        <v>62</v>
      </c>
      <c r="F26" s="104"/>
      <c r="G26" s="105"/>
      <c r="H26" s="41" t="s">
        <v>42</v>
      </c>
      <c r="I26" s="98" t="s">
        <v>43</v>
      </c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99"/>
      <c r="V26" s="99"/>
      <c r="W26" s="100"/>
    </row>
    <row r="27" spans="2:24" x14ac:dyDescent="0.3">
      <c r="B27" s="83"/>
      <c r="C27" s="84"/>
      <c r="D27" s="84"/>
      <c r="E27" s="108"/>
      <c r="F27" s="84"/>
      <c r="G27" s="40"/>
      <c r="H27" s="40"/>
      <c r="I27" s="101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102"/>
    </row>
    <row r="28" spans="2:24" x14ac:dyDescent="0.3">
      <c r="B28" s="93" t="s">
        <v>41</v>
      </c>
      <c r="C28" s="84"/>
      <c r="D28" s="84"/>
      <c r="E28" s="106" t="s">
        <v>46</v>
      </c>
      <c r="F28" s="84"/>
      <c r="G28" s="51">
        <v>0</v>
      </c>
      <c r="H28" s="29" t="str">
        <f>DEC2HEX(G28,6)</f>
        <v>000000</v>
      </c>
      <c r="I28" s="96" t="str">
        <f>H28&amp;H29&amp;H30&amp;H31&amp;H32&amp;H33&amp;H34&amp;H35&amp;H36&amp;H37&amp;H38&amp;H39&amp;H40&amp;H41&amp;H42&amp;H43&amp;H44&amp;H45&amp;H46</f>
        <v>000000030000012C000000000064000A0001000F00C8001400020019012C001E0003002301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6"/>
      <c r="V28" s="96"/>
      <c r="W28" s="97"/>
    </row>
    <row r="29" spans="2:24" x14ac:dyDescent="0.3">
      <c r="B29" s="93" t="s">
        <v>60</v>
      </c>
      <c r="C29" s="84"/>
      <c r="D29" s="84"/>
      <c r="E29" s="106" t="s">
        <v>45</v>
      </c>
      <c r="F29" s="84"/>
      <c r="G29" s="29">
        <v>3</v>
      </c>
      <c r="H29" s="29" t="str">
        <f>DEC2HEX(G29,2)</f>
        <v>03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6"/>
      <c r="V29" s="96"/>
      <c r="W29" s="97"/>
    </row>
    <row r="30" spans="2:24" x14ac:dyDescent="0.3">
      <c r="B30" s="93" t="s">
        <v>41</v>
      </c>
      <c r="C30" s="84"/>
      <c r="D30" s="84"/>
      <c r="E30" s="106" t="s">
        <v>46</v>
      </c>
      <c r="F30" s="84"/>
      <c r="G30" s="29">
        <v>0</v>
      </c>
      <c r="H30" s="29" t="str">
        <f>DEC2HEX(G30,4)</f>
        <v>0000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2:24" x14ac:dyDescent="0.3">
      <c r="B31" s="93" t="s">
        <v>61</v>
      </c>
      <c r="C31" s="84"/>
      <c r="D31" s="84"/>
      <c r="E31" s="106" t="s">
        <v>44</v>
      </c>
      <c r="F31" s="84"/>
      <c r="G31" s="42">
        <v>5</v>
      </c>
      <c r="H31" s="29" t="str">
        <f>DEC2HEX(G31*60,4)</f>
        <v>012C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2:24" x14ac:dyDescent="0.3">
      <c r="B32" s="93" t="s">
        <v>41</v>
      </c>
      <c r="C32" s="84"/>
      <c r="D32" s="84"/>
      <c r="E32" s="106" t="s">
        <v>46</v>
      </c>
      <c r="F32" s="84"/>
      <c r="G32" s="73">
        <v>0</v>
      </c>
      <c r="H32" s="29" t="str">
        <f t="shared" ref="H32" si="3">DEC2HEX(G32,4)</f>
        <v>0000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2:23" x14ac:dyDescent="0.3">
      <c r="B33" s="93" t="s">
        <v>41</v>
      </c>
      <c r="C33" s="84"/>
      <c r="D33" s="84"/>
      <c r="E33" s="106" t="s">
        <v>46</v>
      </c>
      <c r="F33" s="84"/>
      <c r="G33" s="73">
        <v>0</v>
      </c>
      <c r="H33" s="29" t="str">
        <f>DEC2HEX(G33*3600,4)</f>
        <v>0000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</row>
    <row r="34" spans="2:23" x14ac:dyDescent="0.3">
      <c r="B34" s="93" t="s">
        <v>48</v>
      </c>
      <c r="C34" s="84"/>
      <c r="D34" s="84"/>
      <c r="E34" s="114" t="s">
        <v>78</v>
      </c>
      <c r="F34" s="114"/>
      <c r="G34" s="50">
        <v>100</v>
      </c>
      <c r="H34" s="29" t="str">
        <f>DEC2HEX(G34,4)</f>
        <v>0064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</row>
    <row r="35" spans="2:23" x14ac:dyDescent="0.3">
      <c r="B35" s="93" t="s">
        <v>49</v>
      </c>
      <c r="C35" s="84"/>
      <c r="D35" s="84"/>
      <c r="E35" s="114" t="s">
        <v>79</v>
      </c>
      <c r="F35" s="114"/>
      <c r="G35" s="50">
        <v>10</v>
      </c>
      <c r="H35" s="29" t="str">
        <f>DEC2HEX(G35,4)</f>
        <v>000A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</row>
    <row r="36" spans="2:23" x14ac:dyDescent="0.3">
      <c r="B36" s="93" t="s">
        <v>50</v>
      </c>
      <c r="C36" s="84"/>
      <c r="D36" s="84"/>
      <c r="E36" s="114" t="s">
        <v>80</v>
      </c>
      <c r="F36" s="114"/>
      <c r="G36" s="50">
        <v>1</v>
      </c>
      <c r="H36" s="29" t="str">
        <f>DEC2HEX(G36,4)</f>
        <v>0001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2:23" x14ac:dyDescent="0.3">
      <c r="B37" s="95" t="s">
        <v>51</v>
      </c>
      <c r="C37" s="84"/>
      <c r="D37" s="84"/>
      <c r="E37" s="115" t="s">
        <v>81</v>
      </c>
      <c r="F37" s="114"/>
      <c r="G37" s="50">
        <v>15</v>
      </c>
      <c r="H37" s="29" t="str">
        <f>DEC2HEX(G37,4)</f>
        <v>000F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2:23" x14ac:dyDescent="0.3">
      <c r="B38" s="94" t="s">
        <v>52</v>
      </c>
      <c r="C38" s="84"/>
      <c r="D38" s="84"/>
      <c r="E38" s="114" t="s">
        <v>82</v>
      </c>
      <c r="F38" s="114"/>
      <c r="G38" s="50">
        <v>200</v>
      </c>
      <c r="H38" s="29" t="str">
        <f t="shared" ref="H38:H45" si="4">DEC2HEX(G38,4)</f>
        <v>00C8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2:23" x14ac:dyDescent="0.3">
      <c r="B39" s="94" t="s">
        <v>53</v>
      </c>
      <c r="C39" s="84"/>
      <c r="D39" s="84"/>
      <c r="E39" s="114" t="s">
        <v>83</v>
      </c>
      <c r="F39" s="114"/>
      <c r="G39" s="50">
        <v>20</v>
      </c>
      <c r="H39" s="29" t="str">
        <f t="shared" si="4"/>
        <v>0014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0" spans="2:23" x14ac:dyDescent="0.3">
      <c r="B40" s="94" t="s">
        <v>54</v>
      </c>
      <c r="C40" s="84"/>
      <c r="D40" s="84"/>
      <c r="E40" s="114" t="s">
        <v>84</v>
      </c>
      <c r="F40" s="114"/>
      <c r="G40" s="50">
        <v>2</v>
      </c>
      <c r="H40" s="29" t="str">
        <f t="shared" si="4"/>
        <v>0002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</row>
    <row r="41" spans="2:23" x14ac:dyDescent="0.3">
      <c r="B41" s="94" t="s">
        <v>55</v>
      </c>
      <c r="C41" s="84"/>
      <c r="D41" s="84"/>
      <c r="E41" s="115" t="s">
        <v>85</v>
      </c>
      <c r="F41" s="114"/>
      <c r="G41" s="50">
        <v>25</v>
      </c>
      <c r="H41" s="29" t="str">
        <f t="shared" si="4"/>
        <v>0019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x14ac:dyDescent="0.3">
      <c r="B42" s="94" t="s">
        <v>56</v>
      </c>
      <c r="C42" s="84"/>
      <c r="D42" s="84"/>
      <c r="E42" s="114" t="s">
        <v>86</v>
      </c>
      <c r="F42" s="114"/>
      <c r="G42" s="50">
        <v>300</v>
      </c>
      <c r="H42" s="29" t="str">
        <f t="shared" si="4"/>
        <v>012C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</row>
    <row r="43" spans="2:23" x14ac:dyDescent="0.3">
      <c r="B43" s="94" t="s">
        <v>57</v>
      </c>
      <c r="C43" s="84"/>
      <c r="D43" s="84"/>
      <c r="E43" s="114" t="s">
        <v>87</v>
      </c>
      <c r="F43" s="114"/>
      <c r="G43" s="50">
        <v>30</v>
      </c>
      <c r="H43" s="29" t="str">
        <f t="shared" si="4"/>
        <v>001E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</row>
    <row r="44" spans="2:23" x14ac:dyDescent="0.3">
      <c r="B44" s="94" t="s">
        <v>58</v>
      </c>
      <c r="C44" s="84"/>
      <c r="D44" s="84"/>
      <c r="E44" s="114" t="s">
        <v>88</v>
      </c>
      <c r="F44" s="114"/>
      <c r="G44" s="50">
        <v>3</v>
      </c>
      <c r="H44" s="29" t="str">
        <f t="shared" si="4"/>
        <v>0003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</row>
    <row r="45" spans="2:23" x14ac:dyDescent="0.3">
      <c r="B45" s="94" t="s">
        <v>59</v>
      </c>
      <c r="C45" s="84"/>
      <c r="D45" s="84"/>
      <c r="E45" s="115" t="s">
        <v>89</v>
      </c>
      <c r="F45" s="114"/>
      <c r="G45" s="50">
        <v>35</v>
      </c>
      <c r="H45" s="29" t="str">
        <f t="shared" si="4"/>
        <v>0023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</row>
    <row r="46" spans="2:23" x14ac:dyDescent="0.3">
      <c r="B46" s="94" t="s">
        <v>41</v>
      </c>
      <c r="C46" s="84"/>
      <c r="D46" s="84"/>
      <c r="E46" s="106" t="s">
        <v>47</v>
      </c>
      <c r="F46" s="84"/>
      <c r="G46" s="29">
        <v>1</v>
      </c>
      <c r="H46" s="29" t="str">
        <f>DEC2HEX(G46,2)</f>
        <v>01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5"/>
    </row>
    <row r="47" spans="2:23" ht="15" thickBot="1" x14ac:dyDescent="0.35">
      <c r="B47" s="35"/>
      <c r="C47" s="36"/>
      <c r="D47" s="36"/>
      <c r="E47" s="37"/>
      <c r="F47" s="38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9"/>
    </row>
    <row r="48" spans="2:23" ht="15" thickTop="1" x14ac:dyDescent="0.3"/>
  </sheetData>
  <mergeCells count="49">
    <mergeCell ref="B45:D45"/>
    <mergeCell ref="E45:F45"/>
    <mergeCell ref="B46:D46"/>
    <mergeCell ref="E46:F46"/>
    <mergeCell ref="B25:W25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B33:D33"/>
    <mergeCell ref="E33:F33"/>
    <mergeCell ref="B34:D34"/>
    <mergeCell ref="E34:F34"/>
    <mergeCell ref="B35:D35"/>
    <mergeCell ref="E35:F35"/>
    <mergeCell ref="B30:D30"/>
    <mergeCell ref="E30:F30"/>
    <mergeCell ref="B31:D31"/>
    <mergeCell ref="E31:F31"/>
    <mergeCell ref="B32:D32"/>
    <mergeCell ref="E32:F32"/>
    <mergeCell ref="B27:D27"/>
    <mergeCell ref="E27:F27"/>
    <mergeCell ref="I27:W27"/>
    <mergeCell ref="B28:D28"/>
    <mergeCell ref="E28:F28"/>
    <mergeCell ref="I28:W29"/>
    <mergeCell ref="B29:D29"/>
    <mergeCell ref="E29:F29"/>
    <mergeCell ref="B2:E2"/>
    <mergeCell ref="B3:F3"/>
    <mergeCell ref="B26:D26"/>
    <mergeCell ref="E26:G26"/>
    <mergeCell ref="I26:W26"/>
    <mergeCell ref="U15:V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Change Control</vt:lpstr>
      <vt:lpstr>600-021</vt:lpstr>
      <vt:lpstr>600-022</vt:lpstr>
      <vt:lpstr>600-023</vt:lpstr>
      <vt:lpstr>600-031</vt:lpstr>
      <vt:lpstr>600-232</vt:lpstr>
      <vt:lpstr>600-035</vt:lpstr>
      <vt:lpstr>600-036</vt:lpstr>
      <vt:lpstr>600-037</vt:lpstr>
      <vt:lpstr>600-038</vt:lpstr>
      <vt:lpstr>600-034</vt:lpstr>
      <vt:lpstr>600-032</vt:lpstr>
      <vt:lpstr>600-039</vt:lpstr>
    </vt:vector>
  </TitlesOfParts>
  <Company>VINCI Energies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GUERILLON Arnaud</dc:creator>
  <cp:lastModifiedBy>tbeni</cp:lastModifiedBy>
  <dcterms:created xsi:type="dcterms:W3CDTF">2013-01-29T06:52:04Z</dcterms:created>
  <dcterms:modified xsi:type="dcterms:W3CDTF">2022-07-08T09:10:07Z</dcterms:modified>
</cp:coreProperties>
</file>